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xml" ContentType="application/vnd.openxmlformats-officedocument.spreadsheetml.chart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3" activeTab="8"/>
  </bookViews>
  <sheets>
    <sheet name="Top Sheet" sheetId="9" r:id="rId1"/>
    <sheet name="Summary New Year" sheetId="20" r:id="rId2"/>
    <sheet name="Annual Report" sheetId="35" r:id="rId3"/>
    <sheet name="New Year-Full Year" sheetId="1" r:id="rId4"/>
    <sheet name="Analysis of Rates" sheetId="36" state="hidden" r:id="rId5"/>
    <sheet name="Technology" sheetId="48" state="hidden" r:id="rId6"/>
    <sheet name="Tech Budget" sheetId="54" r:id="rId7"/>
    <sheet name="Year End Overage" sheetId="49" r:id="rId8"/>
    <sheet name="Year End tasks" sheetId="55" r:id="rId9"/>
    <sheet name="John" sheetId="39" r:id="rId10"/>
    <sheet name="John - Housing" sheetId="50" r:id="rId11"/>
    <sheet name="Ryan" sheetId="51" r:id="rId12"/>
    <sheet name="Ryan - Housing" sheetId="53" r:id="rId13"/>
    <sheet name="Ryan G - First Pay" sheetId="52" r:id="rId14"/>
    <sheet name="Band and Other Music" sheetId="22" r:id="rId15"/>
    <sheet name="Income Pacing" sheetId="46" r:id="rId16"/>
    <sheet name="Rates for Cheryl" sheetId="24" r:id="rId17"/>
    <sheet name="Comparison" sheetId="32" state="hidden" r:id="rId18"/>
    <sheet name="10 year Experience" sheetId="45" state="hidden" r:id="rId19"/>
    <sheet name="Pastor Kelly" sheetId="29" state="hidden" r:id="rId20"/>
    <sheet name="Interim Pastor" sheetId="43" state="hidden" r:id="rId21"/>
    <sheet name="2023 Est-P Kelly" sheetId="37" state="hidden" r:id="rId22"/>
    <sheet name="Glen and Cheryl" sheetId="38" state="hidden" r:id="rId23"/>
    <sheet name="Pie Chart" sheetId="27" state="hidden" r:id="rId24"/>
    <sheet name="Expenses" sheetId="28" state="hidden" r:id="rId25"/>
    <sheet name="Benevolence" sheetId="31" state="hidden" r:id="rId26"/>
    <sheet name="Dec Council Meeting" sheetId="34" state="hidden" r:id="rId27"/>
    <sheet name="Options" sheetId="33" state="hidden" r:id="rId28"/>
    <sheet name="PK to Cheryl" sheetId="41" state="hidden" r:id="rId29"/>
    <sheet name="Pastor Karen" sheetId="21" state="hidden" r:id="rId30"/>
    <sheet name="Cheryl Salary Range" sheetId="42" state="hidden" r:id="rId31"/>
  </sheets>
  <externalReferences>
    <externalReference r:id="rId32"/>
  </externalReferences>
  <definedNames>
    <definedName name="Bud_Yr">'Top Sheet'!$C$2</definedName>
    <definedName name="dddd" localSheetId="18">#REF!</definedName>
    <definedName name="dddd" localSheetId="4">#REF!</definedName>
    <definedName name="dddd" localSheetId="20">#REF!</definedName>
    <definedName name="dddd" localSheetId="9">#REF!</definedName>
    <definedName name="dddd" localSheetId="19">#REF!</definedName>
    <definedName name="dddd" localSheetId="28">#REF!</definedName>
    <definedName name="dddd" localSheetId="11">#REF!</definedName>
    <definedName name="dddd" localSheetId="12">#REF!</definedName>
    <definedName name="dddd" localSheetId="6">#REF!</definedName>
    <definedName name="dddd">#REF!</definedName>
    <definedName name="_xlnm.Print_Titles" localSheetId="24">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N18" i="39" l="1"/>
  <c r="N17" i="39"/>
  <c r="N16" i="39"/>
  <c r="N15" i="39"/>
  <c r="D20" i="49"/>
  <c r="D18" i="49"/>
  <c r="D17" i="49"/>
  <c r="D15" i="49"/>
  <c r="D11" i="49"/>
  <c r="D10" i="49"/>
  <c r="Q60" i="1" l="1"/>
  <c r="F54" i="54"/>
  <c r="F47" i="54"/>
  <c r="D35" i="54"/>
  <c r="E35" i="54" s="1"/>
  <c r="F35" i="54" s="1"/>
  <c r="D34" i="54"/>
  <c r="F41" i="54"/>
  <c r="F26" i="54"/>
  <c r="F28" i="54" s="1"/>
  <c r="B24" i="54"/>
  <c r="F24" i="54"/>
  <c r="B27" i="54"/>
  <c r="B26" i="54"/>
  <c r="E33" i="54"/>
  <c r="F33" i="54" s="1"/>
  <c r="E36" i="54"/>
  <c r="F36" i="54" s="1"/>
  <c r="E37" i="54"/>
  <c r="F37" i="54" s="1"/>
  <c r="E32" i="54"/>
  <c r="F32" i="54" s="1"/>
  <c r="D38" i="54"/>
  <c r="C38" i="54"/>
  <c r="B38" i="54"/>
  <c r="E34" i="54" l="1"/>
  <c r="F34" i="54" s="1"/>
  <c r="F38" i="54" s="1"/>
  <c r="B28" i="54"/>
  <c r="D7" i="51"/>
  <c r="I28" i="51"/>
  <c r="L29" i="51"/>
  <c r="E38" i="54" l="1"/>
  <c r="N31" i="39"/>
  <c r="L27" i="51"/>
  <c r="I31" i="51"/>
  <c r="G21" i="49"/>
  <c r="C21" i="49"/>
  <c r="E16" i="49"/>
  <c r="E12" i="49"/>
  <c r="E13" i="49"/>
  <c r="E14" i="49"/>
  <c r="E15" i="49"/>
  <c r="E17" i="49"/>
  <c r="E18" i="49"/>
  <c r="E19" i="49"/>
  <c r="E20" i="49"/>
  <c r="E10" i="49"/>
  <c r="E7" i="49"/>
  <c r="E6" i="49"/>
  <c r="E5" i="49"/>
  <c r="K32" i="39" l="1"/>
  <c r="F7" i="39" s="1"/>
  <c r="K35" i="39"/>
  <c r="B8" i="48" l="1"/>
  <c r="D14" i="48" l="1"/>
  <c r="Q105" i="1"/>
  <c r="X50" i="1"/>
  <c r="T50" i="1"/>
  <c r="S50" i="1"/>
  <c r="X49" i="1"/>
  <c r="T49" i="1"/>
  <c r="S49" i="1"/>
  <c r="X23" i="1"/>
  <c r="T23" i="1"/>
  <c r="S23" i="1"/>
  <c r="X22" i="1"/>
  <c r="T22" i="1"/>
  <c r="S22" i="1"/>
  <c r="W68" i="1"/>
  <c r="V68"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Q106" i="1"/>
  <c r="R97" i="1"/>
  <c r="L98" i="1"/>
  <c r="F98" i="1"/>
  <c r="H98" i="1" s="1"/>
  <c r="F99" i="1"/>
  <c r="H99" i="1" s="1"/>
  <c r="L99" i="1"/>
  <c r="H24" i="22"/>
  <c r="Q84" i="1"/>
  <c r="S84" i="1" s="1"/>
  <c r="X84" i="1"/>
  <c r="T84" i="1"/>
  <c r="Q83" i="1"/>
  <c r="Q79" i="1"/>
  <c r="E7" i="51"/>
  <c r="C29" i="51"/>
  <c r="B29" i="51"/>
  <c r="E28" i="51"/>
  <c r="D28" i="51"/>
  <c r="E27" i="51"/>
  <c r="D27" i="51"/>
  <c r="Q85" i="1" s="1"/>
  <c r="E26" i="51"/>
  <c r="D26" i="51"/>
  <c r="L22" i="51"/>
  <c r="L23" i="51" s="1"/>
  <c r="L24" i="51" s="1"/>
  <c r="E21" i="51"/>
  <c r="D21" i="51"/>
  <c r="E19" i="51"/>
  <c r="D19" i="51"/>
  <c r="L18" i="51"/>
  <c r="L19" i="51" s="1"/>
  <c r="L20" i="51" s="1"/>
  <c r="E9" i="51" s="1"/>
  <c r="E15" i="51"/>
  <c r="D15" i="51"/>
  <c r="L13" i="51"/>
  <c r="L14" i="51" s="1"/>
  <c r="L15" i="51" s="1"/>
  <c r="E11" i="51"/>
  <c r="D11" i="51"/>
  <c r="C10" i="51"/>
  <c r="F9" i="51"/>
  <c r="D9" i="51"/>
  <c r="D8" i="51"/>
  <c r="Q78" i="1" s="1"/>
  <c r="B10" i="51"/>
  <c r="D6" i="51"/>
  <c r="C6" i="51"/>
  <c r="B6" i="51"/>
  <c r="R113" i="1"/>
  <c r="R105" i="1"/>
  <c r="G57" i="22"/>
  <c r="Q90" i="1"/>
  <c r="H55" i="22"/>
  <c r="G55" i="22"/>
  <c r="D10" i="51" l="1"/>
  <c r="D12" i="51" s="1"/>
  <c r="D29" i="51"/>
  <c r="B12" i="51"/>
  <c r="B13" i="51" s="1"/>
  <c r="C12" i="51"/>
  <c r="C13" i="51" s="1"/>
  <c r="E8" i="51"/>
  <c r="E29" i="51"/>
  <c r="G43" i="22"/>
  <c r="G28" i="22"/>
  <c r="D13" i="51" l="1"/>
  <c r="D20" i="51" s="1"/>
  <c r="Q80" i="1"/>
  <c r="C20" i="51"/>
  <c r="C16" i="51"/>
  <c r="C22" i="51"/>
  <c r="D22" i="51"/>
  <c r="B20" i="51"/>
  <c r="B16" i="51"/>
  <c r="B22" i="51"/>
  <c r="E6" i="51"/>
  <c r="E10" i="51"/>
  <c r="F96" i="1"/>
  <c r="G51" i="22"/>
  <c r="G37" i="22"/>
  <c r="R86" i="1"/>
  <c r="Q75" i="1"/>
  <c r="Q73" i="1"/>
  <c r="Q69" i="1"/>
  <c r="Q68" i="1"/>
  <c r="R75" i="1"/>
  <c r="R74" i="1"/>
  <c r="R73" i="1"/>
  <c r="R72" i="1"/>
  <c r="R71" i="1"/>
  <c r="R70" i="1"/>
  <c r="R69" i="1"/>
  <c r="R68" i="1"/>
  <c r="F6" i="39"/>
  <c r="E7" i="39"/>
  <c r="N38" i="39"/>
  <c r="N40" i="39"/>
  <c r="K42" i="39"/>
  <c r="K39" i="39" s="1"/>
  <c r="N42" i="39"/>
  <c r="K46" i="39"/>
  <c r="K45" i="39" s="1"/>
  <c r="N46" i="39"/>
  <c r="K47" i="39"/>
  <c r="N47" i="39"/>
  <c r="K48" i="39"/>
  <c r="N48" i="39"/>
  <c r="N21" i="39"/>
  <c r="N22" i="39" s="1"/>
  <c r="N23" i="39" s="1"/>
  <c r="E9" i="39" s="1"/>
  <c r="N25" i="39"/>
  <c r="N26" i="39" s="1"/>
  <c r="N27" i="39" s="1"/>
  <c r="G7" i="39"/>
  <c r="G28" i="39"/>
  <c r="F28" i="39"/>
  <c r="G27" i="39"/>
  <c r="F27" i="39"/>
  <c r="G26" i="39"/>
  <c r="G29" i="39" s="1"/>
  <c r="F26" i="39"/>
  <c r="F29" i="39" s="1"/>
  <c r="G21" i="39"/>
  <c r="F21" i="39"/>
  <c r="G19" i="39"/>
  <c r="F19" i="39"/>
  <c r="G15" i="39"/>
  <c r="F15" i="39"/>
  <c r="G11" i="39"/>
  <c r="F11" i="39"/>
  <c r="G30" i="48"/>
  <c r="G19" i="48"/>
  <c r="G18" i="48"/>
  <c r="G16" i="48"/>
  <c r="R59" i="1" s="1"/>
  <c r="D16" i="51" l="1"/>
  <c r="Q81" i="1" s="1"/>
  <c r="G20" i="48"/>
  <c r="R76" i="1"/>
  <c r="E12" i="51"/>
  <c r="E13" i="51"/>
  <c r="D23" i="51"/>
  <c r="B23" i="51"/>
  <c r="B31" i="51" s="1"/>
  <c r="C23" i="51"/>
  <c r="C31" i="51" s="1"/>
  <c r="G8" i="39"/>
  <c r="S169" i="1"/>
  <c r="R169" i="1"/>
  <c r="Q169" i="1"/>
  <c r="T161" i="1"/>
  <c r="T160" i="1"/>
  <c r="T159" i="1"/>
  <c r="T149" i="1"/>
  <c r="T147" i="1"/>
  <c r="T144" i="1"/>
  <c r="D31" i="51" l="1"/>
  <c r="D32" i="51" s="1"/>
  <c r="Q82" i="1"/>
  <c r="E20" i="51"/>
  <c r="E16" i="51"/>
  <c r="E22" i="51"/>
  <c r="G6" i="39"/>
  <c r="E23" i="51" l="1"/>
  <c r="E31" i="51" s="1"/>
  <c r="E32" i="51" s="1"/>
  <c r="E11" i="39"/>
  <c r="N13" i="39" l="1"/>
  <c r="E28" i="39"/>
  <c r="E27" i="39"/>
  <c r="E26" i="39"/>
  <c r="E21" i="39"/>
  <c r="E19" i="39"/>
  <c r="E15" i="39"/>
  <c r="F9" i="39" l="1"/>
  <c r="G9" i="39"/>
  <c r="G10" i="39" s="1"/>
  <c r="G12" i="39" s="1"/>
  <c r="G13" i="39" s="1"/>
  <c r="E29" i="39"/>
  <c r="G20" i="39" l="1"/>
  <c r="G16" i="39"/>
  <c r="G22" i="39"/>
  <c r="Q74" i="1"/>
  <c r="F10" i="39"/>
  <c r="E10" i="35"/>
  <c r="F12" i="39" l="1"/>
  <c r="Q70" i="1" s="1"/>
  <c r="G23" i="39"/>
  <c r="G31" i="39" s="1"/>
  <c r="G32" i="39" s="1"/>
  <c r="T176" i="1"/>
  <c r="T175" i="1"/>
  <c r="X43" i="1"/>
  <c r="T43" i="1"/>
  <c r="S43" i="1"/>
  <c r="X13" i="1"/>
  <c r="T13" i="1"/>
  <c r="S13" i="1"/>
  <c r="F13" i="39" l="1"/>
  <c r="F22" i="39" s="1"/>
  <c r="S48" i="1"/>
  <c r="T48" i="1"/>
  <c r="X48" i="1"/>
  <c r="Q61" i="1"/>
  <c r="S47" i="1"/>
  <c r="T47" i="1"/>
  <c r="X47" i="1"/>
  <c r="S24" i="1"/>
  <c r="T24" i="1"/>
  <c r="X24" i="1"/>
  <c r="F20" i="39" l="1"/>
  <c r="F23" i="39" s="1"/>
  <c r="Q72" i="1" s="1"/>
  <c r="F16" i="39"/>
  <c r="Q71" i="1" s="1"/>
  <c r="C61" i="20"/>
  <c r="F61" i="20"/>
  <c r="J61" i="20"/>
  <c r="K61" i="20"/>
  <c r="X59" i="1"/>
  <c r="F31" i="39" l="1"/>
  <c r="F32" i="39" s="1"/>
  <c r="T59" i="1"/>
  <c r="L61" i="20"/>
  <c r="F100" i="1"/>
  <c r="Q97" i="1" s="1"/>
  <c r="F87" i="1"/>
  <c r="H9" i="39"/>
  <c r="D27" i="39"/>
  <c r="D28" i="39"/>
  <c r="D26" i="39"/>
  <c r="D21" i="39"/>
  <c r="D19" i="39"/>
  <c r="D15" i="39"/>
  <c r="D11" i="39"/>
  <c r="D9" i="39"/>
  <c r="D7" i="39"/>
  <c r="D8" i="39"/>
  <c r="E8" i="39" s="1"/>
  <c r="C29" i="39"/>
  <c r="C6" i="39"/>
  <c r="B29" i="39"/>
  <c r="B8" i="39"/>
  <c r="B6" i="39" s="1"/>
  <c r="F44" i="22"/>
  <c r="E44" i="22"/>
  <c r="D44" i="22"/>
  <c r="C44" i="22"/>
  <c r="H6" i="22"/>
  <c r="H67" i="22" s="1"/>
  <c r="H69" i="22" s="1"/>
  <c r="H33" i="22"/>
  <c r="H72" i="22"/>
  <c r="H71" i="22"/>
  <c r="H25" i="22"/>
  <c r="H17" i="22"/>
  <c r="H16" i="22"/>
  <c r="R63" i="1"/>
  <c r="Y4" i="1"/>
  <c r="H28" i="22" l="1"/>
  <c r="H43" i="22"/>
  <c r="H37" i="22"/>
  <c r="H87" i="1"/>
  <c r="C24" i="24"/>
  <c r="C20" i="24"/>
  <c r="E10" i="39"/>
  <c r="E6" i="39"/>
  <c r="E61" i="20"/>
  <c r="S59" i="1"/>
  <c r="H51" i="22"/>
  <c r="D29" i="39"/>
  <c r="D6" i="39"/>
  <c r="D10" i="39"/>
  <c r="D12" i="39" s="1"/>
  <c r="C10" i="39"/>
  <c r="B10" i="39"/>
  <c r="B12" i="39" s="1"/>
  <c r="B13" i="39" s="1"/>
  <c r="H74" i="22"/>
  <c r="H77" i="22" s="1"/>
  <c r="H35" i="22"/>
  <c r="H12" i="22"/>
  <c r="H47" i="22"/>
  <c r="H49" i="22" s="1"/>
  <c r="G61" i="20" l="1"/>
  <c r="H61" i="20"/>
  <c r="H41" i="22"/>
  <c r="H38" i="22"/>
  <c r="H44" i="22"/>
  <c r="H52" i="22"/>
  <c r="D13" i="39"/>
  <c r="D20" i="39" s="1"/>
  <c r="T87" i="1"/>
  <c r="S87" i="1"/>
  <c r="D22" i="39"/>
  <c r="D23" i="39" s="1"/>
  <c r="D16" i="39"/>
  <c r="C12" i="39"/>
  <c r="C13" i="39" s="1"/>
  <c r="B22" i="39"/>
  <c r="B20" i="39"/>
  <c r="B16" i="39"/>
  <c r="H60" i="22"/>
  <c r="H62" i="22" s="1"/>
  <c r="H65" i="22" s="1"/>
  <c r="H14" i="22"/>
  <c r="H18" i="22" s="1"/>
  <c r="H20" i="22" s="1"/>
  <c r="H45" i="22" l="1"/>
  <c r="H56" i="22" s="1"/>
  <c r="Q93" i="1" s="1"/>
  <c r="H26" i="22"/>
  <c r="H29" i="22"/>
  <c r="D31" i="39"/>
  <c r="C20" i="39"/>
  <c r="C22" i="39"/>
  <c r="C16" i="39"/>
  <c r="B23" i="39"/>
  <c r="B31" i="39" s="1"/>
  <c r="D24" i="43"/>
  <c r="H30" i="22" l="1"/>
  <c r="D32" i="39"/>
  <c r="C23" i="39"/>
  <c r="C31" i="39" s="1"/>
  <c r="E20" i="43"/>
  <c r="C20" i="43"/>
  <c r="E17" i="43"/>
  <c r="C17" i="43"/>
  <c r="E18" i="43"/>
  <c r="C18" i="43"/>
  <c r="E15" i="43"/>
  <c r="D15" i="43"/>
  <c r="C15" i="43"/>
  <c r="Q92" i="1" l="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W134" i="1"/>
  <c r="V134" i="1"/>
  <c r="R134" i="1"/>
  <c r="Q134" i="1"/>
  <c r="X127" i="1"/>
  <c r="T127" i="1"/>
  <c r="S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Q89"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R178" i="1"/>
  <c r="S178" i="1"/>
  <c r="Q178" i="1"/>
  <c r="T177" i="1"/>
  <c r="T174" i="1"/>
  <c r="T173" i="1"/>
  <c r="T172" i="1"/>
  <c r="T167" i="1"/>
  <c r="T168" i="1"/>
  <c r="T155" i="1"/>
  <c r="T156" i="1"/>
  <c r="T157" i="1"/>
  <c r="T158" i="1"/>
  <c r="T162" i="1"/>
  <c r="T163" i="1"/>
  <c r="T164" i="1"/>
  <c r="T165" i="1"/>
  <c r="T166" i="1"/>
  <c r="T146" i="1"/>
  <c r="T148" i="1"/>
  <c r="T150" i="1"/>
  <c r="T151" i="1"/>
  <c r="T152" i="1"/>
  <c r="T153" i="1"/>
  <c r="T154" i="1"/>
  <c r="T145" i="1"/>
  <c r="T169" i="1" l="1"/>
  <c r="T17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H96"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0"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R93" i="1"/>
  <c r="I20" i="29"/>
  <c r="R47" i="21"/>
  <c r="R50" i="21" s="1"/>
  <c r="R51" i="21" s="1"/>
  <c r="R40" i="21"/>
  <c r="R34" i="21"/>
  <c r="R35" i="21" s="1"/>
  <c r="R37" i="21" s="1"/>
  <c r="R38" i="21" s="1"/>
  <c r="F7" i="36"/>
  <c r="F8" i="36" s="1"/>
  <c r="E12" i="35"/>
  <c r="E14" i="35" s="1"/>
  <c r="G79" i="22" l="1"/>
  <c r="R92"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R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5" i="22" l="1"/>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V28" i="1"/>
  <c r="C8" i="35" s="1"/>
  <c r="W28" i="1"/>
  <c r="X27" i="1"/>
  <c r="T27" i="1"/>
  <c r="S27" i="1"/>
  <c r="X26" i="1"/>
  <c r="T26" i="1"/>
  <c r="S26" i="1"/>
  <c r="X25" i="1"/>
  <c r="T25" i="1"/>
  <c r="S25" i="1"/>
  <c r="X21" i="1"/>
  <c r="T21" i="1"/>
  <c r="S21" i="1"/>
  <c r="X20" i="1"/>
  <c r="T20" i="1"/>
  <c r="S20" i="1"/>
  <c r="X19" i="1"/>
  <c r="T19" i="1"/>
  <c r="S19" i="1"/>
  <c r="X18" i="1"/>
  <c r="T18" i="1"/>
  <c r="S18" i="1"/>
  <c r="X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X96" i="1"/>
  <c r="D26" i="22" l="1"/>
  <c r="D30" i="22" s="1"/>
  <c r="D79" i="22" s="1"/>
  <c r="F80" i="22" s="1"/>
  <c r="F81" i="22" s="1"/>
  <c r="D20" i="22"/>
  <c r="D29" i="22" s="1"/>
  <c r="E19" i="29"/>
  <c r="S17" i="1"/>
  <c r="Q28" i="1"/>
  <c r="G9" i="36"/>
  <c r="C9" i="32"/>
  <c r="E29" i="29"/>
  <c r="E34" i="29" s="1"/>
  <c r="T17" i="1"/>
  <c r="G6" i="31"/>
  <c r="C15" i="31"/>
  <c r="F15" i="31"/>
  <c r="C21" i="24"/>
  <c r="C60" i="22"/>
  <c r="C62" i="22" s="1"/>
  <c r="C65" i="22" s="1"/>
  <c r="C33" i="22"/>
  <c r="C35" i="22" s="1"/>
  <c r="C38" i="22" s="1"/>
  <c r="C72" i="22"/>
  <c r="C71" i="22"/>
  <c r="C69" i="22"/>
  <c r="C17" i="22"/>
  <c r="C14" i="22"/>
  <c r="I30" i="21"/>
  <c r="I14" i="21" s="1"/>
  <c r="B8" i="35" l="1"/>
  <c r="C25" i="22"/>
  <c r="C47" i="22"/>
  <c r="C49" i="22" s="1"/>
  <c r="C10" i="32"/>
  <c r="C12" i="32"/>
  <c r="C13" i="32" s="1"/>
  <c r="G10" i="36"/>
  <c r="G11" i="36" s="1"/>
  <c r="G42" i="36"/>
  <c r="S28" i="1"/>
  <c r="C41" i="22"/>
  <c r="C18" i="22"/>
  <c r="C74" i="22"/>
  <c r="C77" i="22" s="1"/>
  <c r="G14" i="21"/>
  <c r="S79" i="1"/>
  <c r="C43" i="29"/>
  <c r="C5" i="29"/>
  <c r="W86" i="1"/>
  <c r="V86" i="1"/>
  <c r="X85" i="1"/>
  <c r="T85" i="1"/>
  <c r="X83" i="1"/>
  <c r="T83" i="1"/>
  <c r="X82" i="1"/>
  <c r="X81" i="1"/>
  <c r="X80" i="1"/>
  <c r="X79" i="1"/>
  <c r="T79" i="1"/>
  <c r="C26" i="22" l="1"/>
  <c r="C30" i="22" s="1"/>
  <c r="C20" i="22"/>
  <c r="C29" i="22" s="1"/>
  <c r="C45" i="22"/>
  <c r="C52" i="22"/>
  <c r="C16" i="29"/>
  <c r="C54" i="29"/>
  <c r="D54" i="29"/>
  <c r="S83" i="1"/>
  <c r="X78" i="1"/>
  <c r="S85" i="1"/>
  <c r="X86" i="1"/>
  <c r="T78"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T80" i="1"/>
  <c r="D7" i="24"/>
  <c r="C7" i="24"/>
  <c r="E32" i="29"/>
  <c r="E33" i="29" s="1"/>
  <c r="E35" i="29" s="1"/>
  <c r="E36" i="29" s="1"/>
  <c r="E38" i="29"/>
  <c r="E56" i="29" s="1"/>
  <c r="E45" i="29"/>
  <c r="S78" i="1"/>
  <c r="D20" i="29"/>
  <c r="S80" i="1"/>
  <c r="T81" i="1" l="1"/>
  <c r="C8" i="24"/>
  <c r="D44" i="29"/>
  <c r="D45" i="29" s="1"/>
  <c r="D32" i="29"/>
  <c r="D33" i="29" s="1"/>
  <c r="D38" i="29" s="1"/>
  <c r="D36" i="29" s="1"/>
  <c r="S81" i="1" l="1"/>
  <c r="I58" i="29"/>
  <c r="N58" i="29"/>
  <c r="N57" i="29"/>
  <c r="I57" i="29"/>
  <c r="D56" i="29"/>
  <c r="Q86" i="1"/>
  <c r="C65" i="20" l="1"/>
  <c r="E65" i="20"/>
  <c r="F65" i="20"/>
  <c r="J65" i="20"/>
  <c r="K65" i="20"/>
  <c r="W64" i="1"/>
  <c r="V64" i="1"/>
  <c r="R64" i="1"/>
  <c r="Q64" i="1"/>
  <c r="X63" i="1"/>
  <c r="T63" i="1"/>
  <c r="S63" i="1"/>
  <c r="C12" i="24"/>
  <c r="S90" i="1"/>
  <c r="X90" i="1"/>
  <c r="E33" i="22"/>
  <c r="E35" i="22" s="1"/>
  <c r="E38" i="22" s="1"/>
  <c r="E71" i="22"/>
  <c r="E72" i="22"/>
  <c r="E17" i="22"/>
  <c r="E12" i="22"/>
  <c r="C96" i="20"/>
  <c r="E96" i="20"/>
  <c r="F96" i="20"/>
  <c r="H96" i="20" s="1"/>
  <c r="J96" i="20"/>
  <c r="K96" i="20"/>
  <c r="L96" i="20" s="1"/>
  <c r="Q96" i="1"/>
  <c r="G58" i="21"/>
  <c r="E14" i="22" l="1"/>
  <c r="E19" i="22"/>
  <c r="H65" i="20"/>
  <c r="L65" i="20"/>
  <c r="G65" i="20"/>
  <c r="G96" i="20"/>
  <c r="S82" i="1"/>
  <c r="S86" i="1" s="1"/>
  <c r="T82" i="1"/>
  <c r="E41" i="22"/>
  <c r="T90" i="1"/>
  <c r="E18" i="22"/>
  <c r="E60" i="22"/>
  <c r="E62" i="22" s="1"/>
  <c r="E65" i="22" s="1"/>
  <c r="E67" i="22"/>
  <c r="E69" i="22" s="1"/>
  <c r="E74" i="22" s="1"/>
  <c r="E77" i="22" s="1"/>
  <c r="G24" i="21"/>
  <c r="G26" i="21" s="1"/>
  <c r="G31" i="21" s="1"/>
  <c r="D24" i="21"/>
  <c r="X74"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T86" i="1"/>
  <c r="S74" i="1"/>
  <c r="T74" i="1"/>
  <c r="E31" i="21"/>
  <c r="D31" i="21"/>
  <c r="D49" i="21" s="1"/>
  <c r="D6" i="21"/>
  <c r="D9" i="21"/>
  <c r="D14" i="21"/>
  <c r="C14" i="21"/>
  <c r="F14" i="21"/>
  <c r="F22" i="21"/>
  <c r="F24" i="21" s="1"/>
  <c r="F26" i="21" s="1"/>
  <c r="G36" i="21"/>
  <c r="C9" i="21"/>
  <c r="C22" i="21" s="1"/>
  <c r="C24" i="21" s="1"/>
  <c r="C26" i="21" s="1"/>
  <c r="B6" i="21"/>
  <c r="X129" i="1"/>
  <c r="T129" i="1"/>
  <c r="S129" i="1"/>
  <c r="L96" i="1"/>
  <c r="E79" i="22" l="1"/>
  <c r="G80" i="22" s="1"/>
  <c r="G81" i="22" s="1"/>
  <c r="D36" i="21"/>
  <c r="H18" i="21"/>
  <c r="H19" i="21" s="1"/>
  <c r="F31" i="21"/>
  <c r="F48" i="21"/>
  <c r="E36" i="21"/>
  <c r="E49" i="21"/>
  <c r="C31" i="21"/>
  <c r="C48" i="21"/>
  <c r="B7" i="21"/>
  <c r="T96"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S96"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X10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X132" i="1"/>
  <c r="T132" i="1"/>
  <c r="X71" i="1"/>
  <c r="L61" i="21" l="1"/>
  <c r="M61" i="21"/>
  <c r="P61" i="21"/>
  <c r="O61" i="21"/>
  <c r="I38" i="21"/>
  <c r="I61" i="21"/>
  <c r="G35" i="21"/>
  <c r="G37" i="21" s="1"/>
  <c r="G40" i="21" s="1"/>
  <c r="S132" i="1"/>
  <c r="M62" i="21" l="1"/>
  <c r="M63" i="21" s="1"/>
  <c r="P62" i="21"/>
  <c r="P63" i="21" s="1"/>
  <c r="G61" i="21"/>
  <c r="G38" i="21"/>
  <c r="L100" i="1"/>
  <c r="I62" i="21" l="1"/>
  <c r="I63" i="21" s="1"/>
  <c r="C13" i="24"/>
  <c r="M64" i="1"/>
  <c r="I64" i="1"/>
  <c r="E64" i="1"/>
  <c r="V2" i="1"/>
  <c r="S3" i="1"/>
  <c r="R3" i="1"/>
  <c r="H4" i="36" s="1"/>
  <c r="Q3" i="1"/>
  <c r="H16" i="36" l="1"/>
  <c r="H34" i="36"/>
  <c r="G4" i="36"/>
  <c r="F4" i="36"/>
  <c r="X93" i="1"/>
  <c r="T93" i="1"/>
  <c r="G34" i="36" l="1"/>
  <c r="G16" i="36"/>
  <c r="F34" i="36"/>
  <c r="F16" i="36"/>
  <c r="S93" i="1"/>
  <c r="T103" i="1" l="1"/>
  <c r="S103"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X128" i="1" l="1"/>
  <c r="K95" i="20" l="1"/>
  <c r="J95" i="20"/>
  <c r="F95" i="20"/>
  <c r="T128" i="1"/>
  <c r="E95" i="20" l="1"/>
  <c r="S128" i="1"/>
  <c r="G95" i="20" l="1"/>
  <c r="R117" i="1"/>
  <c r="R124" i="1"/>
  <c r="R94" i="1"/>
  <c r="R104" i="1" s="1"/>
  <c r="R55" i="1"/>
  <c r="R41" i="1"/>
  <c r="F70" i="20" l="1"/>
  <c r="F71" i="20"/>
  <c r="R125" i="1"/>
  <c r="D11" i="35" s="1"/>
  <c r="J3" i="20"/>
  <c r="R107" i="1" l="1"/>
  <c r="K10" i="20"/>
  <c r="K11" i="20"/>
  <c r="J10" i="20"/>
  <c r="J11" i="20"/>
  <c r="E55" i="20"/>
  <c r="F55" i="20"/>
  <c r="J55" i="20"/>
  <c r="K55" i="20"/>
  <c r="G55" i="20" l="1"/>
  <c r="H55" i="20"/>
  <c r="L55" i="20"/>
  <c r="X53" i="1"/>
  <c r="T53" i="1"/>
  <c r="S53" i="1" l="1"/>
  <c r="E38" i="20" l="1"/>
  <c r="F38" i="20"/>
  <c r="J38" i="20"/>
  <c r="K38" i="20"/>
  <c r="G38" i="20" l="1"/>
  <c r="L38" i="20"/>
  <c r="H38" i="20"/>
  <c r="S133" i="1"/>
  <c r="S131" i="1"/>
  <c r="S130" i="1"/>
  <c r="S123" i="1"/>
  <c r="S122" i="1"/>
  <c r="S121" i="1"/>
  <c r="S120" i="1"/>
  <c r="S119" i="1"/>
  <c r="S116" i="1"/>
  <c r="S115" i="1"/>
  <c r="S114" i="1"/>
  <c r="S113" i="1"/>
  <c r="S112" i="1"/>
  <c r="S111" i="1"/>
  <c r="S106" i="1"/>
  <c r="S101" i="1"/>
  <c r="S91" i="1"/>
  <c r="S89" i="1"/>
  <c r="S75" i="1"/>
  <c r="S73" i="1"/>
  <c r="S69" i="1"/>
  <c r="S60" i="1"/>
  <c r="S58" i="1"/>
  <c r="S57" i="1"/>
  <c r="S52" i="1"/>
  <c r="S44" i="1"/>
  <c r="S42" i="1"/>
  <c r="S39" i="1"/>
  <c r="S36" i="1"/>
  <c r="S35" i="1"/>
  <c r="S34" i="1"/>
  <c r="S33" i="1"/>
  <c r="S32" i="1"/>
  <c r="S134" i="1" l="1"/>
  <c r="S117" i="1"/>
  <c r="S124" i="1"/>
  <c r="S125" i="1" l="1"/>
  <c r="T36" i="1" l="1"/>
  <c r="X36" i="1"/>
  <c r="F4" i="20" l="1"/>
  <c r="E4" i="20"/>
  <c r="K4" i="20"/>
  <c r="J4" i="20"/>
  <c r="X42" i="1"/>
  <c r="T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X73" i="1"/>
  <c r="T73" i="1"/>
  <c r="J66" i="20" l="1"/>
  <c r="K66" i="20"/>
  <c r="K48" i="20"/>
  <c r="J83" i="20"/>
  <c r="J39" i="20"/>
  <c r="J13" i="20"/>
  <c r="J43" i="20"/>
  <c r="K83" i="20"/>
  <c r="K91" i="20"/>
  <c r="J48" i="20"/>
  <c r="J91" i="20"/>
  <c r="K13" i="20"/>
  <c r="K43" i="20"/>
  <c r="J92" i="20" l="1"/>
  <c r="K92" i="20"/>
  <c r="S61" i="1"/>
  <c r="S62" i="1"/>
  <c r="S51" i="1"/>
  <c r="S54" i="1"/>
  <c r="S46" i="1"/>
  <c r="S40" i="1"/>
  <c r="X70" i="1"/>
  <c r="S64" i="1" l="1"/>
  <c r="S41" i="1"/>
  <c r="S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S102"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S97" i="1"/>
  <c r="S92" i="1" l="1"/>
  <c r="S94"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T133" i="1" l="1"/>
  <c r="T131" i="1"/>
  <c r="T130" i="1"/>
  <c r="T123" i="1"/>
  <c r="T122" i="1"/>
  <c r="T121" i="1"/>
  <c r="T120" i="1"/>
  <c r="T119" i="1"/>
  <c r="T116" i="1"/>
  <c r="T115" i="1"/>
  <c r="T114" i="1"/>
  <c r="T113" i="1"/>
  <c r="T112" i="1"/>
  <c r="T111" i="1"/>
  <c r="T106" i="1"/>
  <c r="T102" i="1"/>
  <c r="T101" i="1"/>
  <c r="T97" i="1"/>
  <c r="T92" i="1"/>
  <c r="T91" i="1"/>
  <c r="T89" i="1"/>
  <c r="T75" i="1"/>
  <c r="T69" i="1"/>
  <c r="T62" i="1"/>
  <c r="T61" i="1"/>
  <c r="T60" i="1"/>
  <c r="T58" i="1"/>
  <c r="T57" i="1"/>
  <c r="T54" i="1"/>
  <c r="T52" i="1"/>
  <c r="T51" i="1"/>
  <c r="T46" i="1"/>
  <c r="T44" i="1"/>
  <c r="T40" i="1"/>
  <c r="T39" i="1"/>
  <c r="T35" i="1"/>
  <c r="T34" i="1"/>
  <c r="T33" i="1"/>
  <c r="T32" i="1"/>
  <c r="X7" i="1"/>
  <c r="X133" i="1"/>
  <c r="X130" i="1"/>
  <c r="X123" i="1"/>
  <c r="X122" i="1"/>
  <c r="X121" i="1"/>
  <c r="X120" i="1"/>
  <c r="X119" i="1"/>
  <c r="X116" i="1"/>
  <c r="X115" i="1"/>
  <c r="X114" i="1"/>
  <c r="X113" i="1"/>
  <c r="X112" i="1"/>
  <c r="X111" i="1"/>
  <c r="X106" i="1"/>
  <c r="X105" i="1"/>
  <c r="X104" i="1"/>
  <c r="X102" i="1"/>
  <c r="X101" i="1"/>
  <c r="X97" i="1"/>
  <c r="X92" i="1"/>
  <c r="X91" i="1"/>
  <c r="X89" i="1"/>
  <c r="X75" i="1"/>
  <c r="X72" i="1"/>
  <c r="X69" i="1"/>
  <c r="X62" i="1"/>
  <c r="X61" i="1"/>
  <c r="X60" i="1"/>
  <c r="X58" i="1"/>
  <c r="X57" i="1"/>
  <c r="X54" i="1"/>
  <c r="X52" i="1"/>
  <c r="X51" i="1"/>
  <c r="X46" i="1"/>
  <c r="X44" i="1"/>
  <c r="X40" i="1"/>
  <c r="X39" i="1"/>
  <c r="X35" i="1"/>
  <c r="X34" i="1"/>
  <c r="X33" i="1"/>
  <c r="X32" i="1"/>
  <c r="X31" i="1"/>
  <c r="X28" i="1"/>
  <c r="X11" i="1"/>
  <c r="X10" i="1"/>
  <c r="X9" i="1"/>
  <c r="X8" i="1"/>
  <c r="W12" i="1"/>
  <c r="W37" i="1"/>
  <c r="W41" i="1"/>
  <c r="W55" i="1"/>
  <c r="W107" i="1"/>
  <c r="W117" i="1"/>
  <c r="W124" i="1"/>
  <c r="V124" i="1"/>
  <c r="V117" i="1"/>
  <c r="V107" i="1"/>
  <c r="V94" i="1"/>
  <c r="V76" i="1"/>
  <c r="V55" i="1"/>
  <c r="V41" i="1"/>
  <c r="V37" i="1"/>
  <c r="V12" i="1"/>
  <c r="Q124" i="1"/>
  <c r="Q117" i="1"/>
  <c r="Q55" i="1"/>
  <c r="Q41" i="1"/>
  <c r="J70" i="20" l="1"/>
  <c r="J74" i="20" s="1"/>
  <c r="J103" i="20" s="1"/>
  <c r="J104" i="20" s="1"/>
  <c r="V108" i="1"/>
  <c r="C10" i="35" s="1"/>
  <c r="W65" i="1"/>
  <c r="V65" i="1"/>
  <c r="C9" i="35" s="1"/>
  <c r="T55" i="1"/>
  <c r="V14" i="1"/>
  <c r="T134" i="1"/>
  <c r="T124" i="1"/>
  <c r="X87" i="1"/>
  <c r="X55" i="1"/>
  <c r="T41" i="1"/>
  <c r="X41" i="1"/>
  <c r="X107" i="1"/>
  <c r="X12" i="1"/>
  <c r="T117" i="1"/>
  <c r="X117" i="1"/>
  <c r="X124" i="1"/>
  <c r="X64" i="1"/>
  <c r="X37" i="1"/>
  <c r="W125" i="1"/>
  <c r="W14" i="1"/>
  <c r="W139" i="1" s="1"/>
  <c r="V125" i="1"/>
  <c r="C11" i="35" s="1"/>
  <c r="Q125" i="1"/>
  <c r="B11" i="35" s="1"/>
  <c r="C5" i="35" l="1"/>
  <c r="C12" i="35"/>
  <c r="V139" i="1"/>
  <c r="X139" i="1" s="1"/>
  <c r="X14" i="1"/>
  <c r="T125" i="1"/>
  <c r="X65" i="1"/>
  <c r="X125" i="1"/>
  <c r="C14" i="35" l="1"/>
  <c r="C24" i="35" s="1"/>
  <c r="J107" i="20"/>
  <c r="J108" i="20" s="1"/>
  <c r="F5" i="34" s="1"/>
  <c r="F7" i="34" s="1"/>
  <c r="F12" i="34" s="1"/>
  <c r="F14" i="34" l="1"/>
  <c r="J12" i="34"/>
  <c r="W76" i="1" l="1"/>
  <c r="X68" i="1"/>
  <c r="X76" i="1" l="1"/>
  <c r="Q94" i="1" l="1"/>
  <c r="Q104" i="1" s="1"/>
  <c r="S104" i="1" l="1"/>
  <c r="E70" i="20"/>
  <c r="T94" i="1"/>
  <c r="E71" i="20" l="1"/>
  <c r="S105" i="1" l="1"/>
  <c r="T105" i="1"/>
  <c r="W94" i="1"/>
  <c r="W108" i="1" l="1"/>
  <c r="K70" i="20"/>
  <c r="K74" i="20" s="1"/>
  <c r="L73" i="20"/>
  <c r="X94" i="1"/>
  <c r="L70" i="20" l="1"/>
  <c r="L74" i="20"/>
  <c r="K103" i="20" l="1"/>
  <c r="E9" i="20"/>
  <c r="E10" i="20"/>
  <c r="E11" i="20"/>
  <c r="E12" i="20"/>
  <c r="L103" i="20" l="1"/>
  <c r="K104" i="20"/>
  <c r="L104" i="20" s="1"/>
  <c r="K107" i="20"/>
  <c r="K108" i="20" s="1"/>
  <c r="L107" i="20" l="1"/>
  <c r="T10" i="1"/>
  <c r="F11" i="20"/>
  <c r="S10" i="1"/>
  <c r="T11" i="1"/>
  <c r="S11" i="1"/>
  <c r="F12" i="20"/>
  <c r="T8" i="1"/>
  <c r="F9" i="20"/>
  <c r="S8" i="1"/>
  <c r="T9" i="1"/>
  <c r="F10" i="20"/>
  <c r="S9" i="1"/>
  <c r="H9" i="20" l="1"/>
  <c r="G9" i="20"/>
  <c r="H12" i="20"/>
  <c r="G12" i="20"/>
  <c r="H11" i="20"/>
  <c r="G11" i="20"/>
  <c r="H10" i="20"/>
  <c r="G10" i="20"/>
  <c r="Q37" i="1"/>
  <c r="Q65" i="1" s="1"/>
  <c r="E33" i="20"/>
  <c r="T31" i="1"/>
  <c r="F33" i="20"/>
  <c r="F39" i="20" s="1"/>
  <c r="R37" i="1"/>
  <c r="S31" i="1"/>
  <c r="S37" i="1" s="1"/>
  <c r="S65" i="1" s="1"/>
  <c r="E39" i="20" l="1"/>
  <c r="E67" i="20" s="1"/>
  <c r="G33" i="20"/>
  <c r="G39" i="20" s="1"/>
  <c r="G67" i="20" s="1"/>
  <c r="T37" i="1"/>
  <c r="R65" i="1"/>
  <c r="H33" i="20"/>
  <c r="F67" i="20"/>
  <c r="D9" i="35" l="1"/>
  <c r="H39" i="20"/>
  <c r="H67" i="20"/>
  <c r="T104" i="1" l="1"/>
  <c r="S107" i="1"/>
  <c r="Q107" i="1"/>
  <c r="T107" i="1" l="1"/>
  <c r="V136" i="1" l="1"/>
  <c r="V137" i="1" s="1"/>
  <c r="V140" i="1" l="1"/>
  <c r="V141" i="1" s="1"/>
  <c r="W136" i="1" l="1"/>
  <c r="X136" i="1" s="1"/>
  <c r="X108" i="1"/>
  <c r="W140" i="1" l="1"/>
  <c r="X140" i="1" s="1"/>
  <c r="W137" i="1"/>
  <c r="W141" i="1" l="1"/>
  <c r="E6" i="21"/>
  <c r="E7" i="21" s="1"/>
  <c r="E11" i="21" s="1"/>
  <c r="E16" i="21" s="1"/>
  <c r="E18" i="21" l="1"/>
  <c r="E19" i="21" s="1"/>
  <c r="E34" i="21" l="1"/>
  <c r="E35" i="21" s="1"/>
  <c r="E37" i="21" s="1"/>
  <c r="E47" i="21"/>
  <c r="E50" i="21" s="1"/>
  <c r="E51" i="21" s="1"/>
  <c r="E38" i="21" l="1"/>
  <c r="E39" i="21" s="1"/>
  <c r="E61" i="21"/>
  <c r="E65" i="21" s="1"/>
  <c r="T64" i="1"/>
  <c r="B9" i="35" l="1"/>
  <c r="T65" i="1"/>
  <c r="F16" i="20" l="1"/>
  <c r="H16" i="20" s="1"/>
  <c r="E16" i="20"/>
  <c r="F17" i="20" l="1"/>
  <c r="E17" i="20" l="1"/>
  <c r="G17" i="20"/>
  <c r="H17" i="20" l="1"/>
  <c r="G30" i="20" l="1"/>
  <c r="T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T68" i="1"/>
  <c r="S68" i="1"/>
  <c r="Q40" i="21"/>
  <c r="G70" i="20" l="1"/>
  <c r="S71" i="1"/>
  <c r="S70" i="1"/>
  <c r="T70" i="1"/>
  <c r="Q76" i="1"/>
  <c r="Q108" i="1" s="1"/>
  <c r="B10" i="35" s="1"/>
  <c r="Q61" i="21"/>
  <c r="Q62" i="21" s="1"/>
  <c r="Q63" i="21" s="1"/>
  <c r="H70" i="20"/>
  <c r="F73" i="20" l="1"/>
  <c r="F74" i="20" s="1"/>
  <c r="F103" i="20" s="1"/>
  <c r="F107" i="20" s="1"/>
  <c r="T71" i="1"/>
  <c r="C6" i="24"/>
  <c r="S72" i="1"/>
  <c r="S76" i="1" s="1"/>
  <c r="S108" i="1" s="1"/>
  <c r="S136" i="1" s="1"/>
  <c r="T72" i="1"/>
  <c r="R108" i="1" l="1"/>
  <c r="D10" i="35" s="1"/>
  <c r="D12" i="35" s="1"/>
  <c r="G73" i="20"/>
  <c r="H73" i="20"/>
  <c r="G71" i="20"/>
  <c r="T76" i="1"/>
  <c r="E74" i="20"/>
  <c r="H74" i="20" s="1"/>
  <c r="H71" i="20"/>
  <c r="Q136" i="1"/>
  <c r="B12" i="35"/>
  <c r="T108" i="1" l="1"/>
  <c r="R136" i="1"/>
  <c r="R140" i="1" s="1"/>
  <c r="E103" i="20"/>
  <c r="H103" i="20" s="1"/>
  <c r="G74" i="20"/>
  <c r="G103" i="20" s="1"/>
  <c r="Q140" i="1"/>
  <c r="T136" i="1" l="1"/>
  <c r="E107" i="20"/>
  <c r="H107" i="20" s="1"/>
  <c r="G107" i="20"/>
  <c r="T140" i="1"/>
  <c r="S140" i="1"/>
  <c r="F8" i="20"/>
  <c r="F13" i="20" s="1"/>
  <c r="T7" i="1"/>
  <c r="R12" i="1"/>
  <c r="R14" i="1" s="1"/>
  <c r="D5" i="35" l="1"/>
  <c r="D14" i="35" s="1"/>
  <c r="D24" i="35" s="1"/>
  <c r="R137" i="1"/>
  <c r="F18" i="20"/>
  <c r="S7" i="1"/>
  <c r="S12" i="1" s="1"/>
  <c r="S14" i="1" s="1"/>
  <c r="S137" i="1" s="1"/>
  <c r="E8" i="20"/>
  <c r="Q12" i="1"/>
  <c r="R139" i="1"/>
  <c r="H8" i="20" l="1"/>
  <c r="E13" i="20"/>
  <c r="G8" i="20"/>
  <c r="G13" i="20" s="1"/>
  <c r="G18" i="20" s="1"/>
  <c r="R141" i="1"/>
  <c r="T12" i="1"/>
  <c r="Q14" i="1"/>
  <c r="C28" i="1" s="1"/>
  <c r="F104" i="20"/>
  <c r="F106" i="20"/>
  <c r="E18" i="20" l="1"/>
  <c r="H13" i="20"/>
  <c r="F108" i="20"/>
  <c r="Q137" i="1"/>
  <c r="T137" i="1" s="1"/>
  <c r="C30" i="20"/>
  <c r="B5" i="35"/>
  <c r="B14" i="35" s="1"/>
  <c r="B24" i="35" s="1"/>
  <c r="Q139" i="1"/>
  <c r="T14" i="1"/>
  <c r="G106" i="20"/>
  <c r="G108" i="20" s="1"/>
  <c r="G104" i="20"/>
  <c r="Q141" i="1" l="1"/>
  <c r="S139" i="1"/>
  <c r="T139" i="1"/>
  <c r="E106" i="20"/>
  <c r="E104" i="20"/>
  <c r="H104" i="20" s="1"/>
  <c r="H18" i="20"/>
  <c r="S141" i="1" l="1"/>
  <c r="H5" i="34"/>
  <c r="H7" i="34" s="1"/>
  <c r="T141" i="1"/>
  <c r="E108" i="20"/>
  <c r="H106" i="20"/>
  <c r="E12" i="39"/>
  <c r="E13" i="39" s="1"/>
  <c r="E20" i="39" l="1"/>
  <c r="E16" i="39"/>
  <c r="E22" i="39"/>
  <c r="E23" i="39" l="1"/>
  <c r="E31" i="39" s="1"/>
  <c r="E32" i="39" s="1"/>
  <c r="D21" i="49"/>
  <c r="D26" i="49" s="1"/>
  <c r="E11" i="49"/>
  <c r="E21" i="4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N31" authorId="0">
      <text>
        <r>
          <rPr>
            <b/>
            <sz val="9"/>
            <color indexed="81"/>
            <rFont val="Tahoma"/>
            <family val="2"/>
          </rPr>
          <t>Dawn Jacobson:</t>
        </r>
        <r>
          <rPr>
            <sz val="9"/>
            <color indexed="81"/>
            <rFont val="Tahoma"/>
            <family val="2"/>
          </rPr>
          <t xml:space="preserve">
Zillo Rent Estimate 12/14/24  $456,6000 price of home currently</t>
        </r>
      </text>
    </comment>
  </commentList>
</comments>
</file>

<file path=xl/comments4.xml><?xml version="1.0" encoding="utf-8"?>
<comments xmlns="http://schemas.openxmlformats.org/spreadsheetml/2006/main">
  <authors>
    <author>Dawn Jacobson</author>
  </authors>
  <commentList>
    <comment ref="L27" authorId="0">
      <text>
        <r>
          <rPr>
            <b/>
            <sz val="9"/>
            <color indexed="81"/>
            <rFont val="Tahoma"/>
            <family val="2"/>
          </rPr>
          <t>Dawn Jacobson:</t>
        </r>
        <r>
          <rPr>
            <sz val="9"/>
            <color indexed="81"/>
            <rFont val="Tahoma"/>
            <family val="2"/>
          </rPr>
          <t xml:space="preserve">
Zillow Estimate 12/14/24 
House sold $469,900</t>
        </r>
      </text>
    </comment>
    <comment ref="L31" authorId="0">
      <text>
        <r>
          <rPr>
            <b/>
            <sz val="9"/>
            <color indexed="81"/>
            <rFont val="Tahoma"/>
            <family val="2"/>
          </rPr>
          <t>Dawn Jacobson:</t>
        </r>
        <r>
          <rPr>
            <sz val="9"/>
            <color indexed="81"/>
            <rFont val="Tahoma"/>
            <family val="2"/>
          </rPr>
          <t xml:space="preserve">
Not needed as they put a large amount down on the home purchase.</t>
        </r>
      </text>
    </comment>
  </commentList>
</comments>
</file>

<file path=xl/comments5.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6.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7.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8.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9.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<sst xmlns="http://schemas.openxmlformats.org/spreadsheetml/2006/main" count="1544" uniqueCount="881">
  <si>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</si>
  <si>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</si>
  <si>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</si>
  <si>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</si>
  <si>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</si>
  <si>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</si>
  <si>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</si>
  <si>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</si>
  <si>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</si>
  <si>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</si>
  <si>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</si>
  <si>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</si>
  <si>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</si>
  <si>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</si>
  <si>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</si>
  <si>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</si>
  <si>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</si>
  <si>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</si>
  <si>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</si>
  <si>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</si>
  <si>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</si>
  <si>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</si>
  <si>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</si>
  <si>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</si>
  <si>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</si>
  <si>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</si>
  <si>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</si>
  <si>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</si>
  <si>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</si>
  <si>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</si>
  <si>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</si>
  <si>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</si>
  <si>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</si>
  <si>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</si>
  <si>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</si>
  <si>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</si>
  <si>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</si>
  <si>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</si>
  <si>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</si>
  <si>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</si>
  <si>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</si>
  <si>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</si>
  <si>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</si>
  <si>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</si>
  <si>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</si>
  <si>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</si>
  <si>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</si>
  <si>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</si>
  <si>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</si>
  <si>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</si>
  <si>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</si>
  <si>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</si>
  <si>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</si>
  <si>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</si>
  <si>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</si>
  <si>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</si>
  <si>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</si>
  <si>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</si>
  <si>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</si>
  <si>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</si>
  <si>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</si>
  <si>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</si>
  <si>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</si>
  <si>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</si>
  <si>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</si>
  <si>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</si>
  <si>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</si>
  <si>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</si>
  <si>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</si>
  <si>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</si>
  <si>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</si>
  <si>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</si>
  <si>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</si>
  <si>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</si>
  <si>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</si>
  <si>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</si>
  <si>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</si>
  <si>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</si>
  <si>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</si>
  <si>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</si>
  <si>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</si>
  <si>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</si>
  <si>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</si>
  <si>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</si>
  <si>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</si>
  <si>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</si>
  <si>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</si>
  <si>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</si>
  <si>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</si>
  <si>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</si>
  <si>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</si>
  <si>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</si>
  <si>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</si>
  <si>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</si>
  <si>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</si>
  <si>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</si>
  <si>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</si>
  <si>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</si>
  <si>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</si>
  <si>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</si>
  <si>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</si>
  <si>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</si>
  <si>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</si>
  <si>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</si>
  <si>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</si>
  <si>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</si>
  <si>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</si>
  <si>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</si>
  <si>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</si>
  <si>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</si>
  <si>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</si>
  <si>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</si>
  <si>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</si>
  <si>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</si>
  <si>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</si>
  <si>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</si>
  <si>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</si>
  <si>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</si>
  <si>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</si>
  <si>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</si>
  <si>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</si>
  <si>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</si>
  <si>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</si>
  <si>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</si>
  <si>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</si>
  <si>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</si>
  <si>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</si>
  <si>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</si>
  <si>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</si>
  <si>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</si>
  <si>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</si>
  <si>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</si>
  <si>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</si>
  <si>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</si>
  <si>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</si>
  <si>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</si>
  <si>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</si>
  <si>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</si>
  <si>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</si>
  <si>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</si>
  <si>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</si>
  <si>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</si>
  <si>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</si>
  <si>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</si>
  <si>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</si>
  <si>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</si>
  <si>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</si>
  <si>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</si>
  <si>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</si>
  <si>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</si>
  <si>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</si>
  <si>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</si>
  <si>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</si>
  <si>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</si>
  <si>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</si>
  <si>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</si>
  <si>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</si>
  <si>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</si>
  <si>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</si>
  <si>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</si>
  <si>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</si>
  <si>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</si>
  <si>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</si>
  <si>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</si>
  <si>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</si>
  <si>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</si>
  <si>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</si>
  <si>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</si>
  <si>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</si>
  <si>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</si>
  <si>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</si>
  <si>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</si>
  <si>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</si>
  <si>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</si>
  <si>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</si>
  <si>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</si>
  <si>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</si>
  <si>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</si>
  <si>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</si>
  <si>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</si>
  <si>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</si>
  <si>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</si>
  <si>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</si>
  <si>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</si>
  <si>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</si>
  <si>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</si>
  <si>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</si>
  <si>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</si>
  <si>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</si>
  <si>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</si>
  <si>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</si>
  <si>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</si>
  <si>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</si>
  <si>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</si>
  <si>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</si>
  <si>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</si>
  <si>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</si>
  <si>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</si>
  <si>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</si>
  <si>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</si>
  <si>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</si>
  <si>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</si>
  <si>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</si>
  <si>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</si>
  <si>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</si>
  <si>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</si>
  <si>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</si>
  <si>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</si>
  <si>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</si>
  <si>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</si>
  <si>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</si>
  <si>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</si>
  <si>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</si>
  <si>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</si>
  <si>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</si>
  <si>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</si>
  <si>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</si>
  <si>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</si>
  <si>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</si>
  <si>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</si>
  <si>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</si>
  <si>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</si>
  <si>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</si>
  <si>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</si>
  <si>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</si>
  <si>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</si>
  <si>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</si>
  <si>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</si>
  <si>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</si>
  <si>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</si>
  <si>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</si>
  <si>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</si>
  <si>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</si>
  <si>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</si>
  <si>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</si>
  <si>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</si>
  <si>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</si>
  <si>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</si>
  <si>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</si>
  <si>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</si>
  <si>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</si>
  <si>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</si>
  <si>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</si>
  <si>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</si>
  <si>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</si>
  <si>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</si>
  <si>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</si>
  <si>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</si>
  <si>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</si>
  <si>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</si>
  <si>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</si>
  <si>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</si>
  <si>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</si>
  <si>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</si>
  <si>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</si>
  <si>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</si>
  <si>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</si>
  <si>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</si>
  <si>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</si>
  <si>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</si>
  <si>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</si>
  <si>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</si>
  <si>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</si>
  <si>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</si>
  <si>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</si>
  <si>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</si>
  <si>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</si>
  <si>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</si>
  <si>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</si>
  <si>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</si>
  <si>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</si>
  <si>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</si>
  <si>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</si>
  <si>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</si>
  <si>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</si>
  <si>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</si>
  <si>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</si>
  <si>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</si>
  <si>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</si>
  <si>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</si>
  <si>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</si>
  <si>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</si>
  <si>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</si>
  <si>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</si>
  <si>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</si>
  <si>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</si>
  <si>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</si>
  <si>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</si>
  <si>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</si>
  <si>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</si>
  <si>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</si>
  <si>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</si>
  <si>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</si>
  <si>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</si>
  <si>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</si>
  <si>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</si>
  <si>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</si>
  <si>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</si>
  <si>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</si>
  <si>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</si>
  <si>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</si>
  <si>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</si>
  <si>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</si>
  <si>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</si>
  <si>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</si>
  <si>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</si>
  <si>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</si>
  <si>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</si>
  <si>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</si>
  <si>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</si>
  <si>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</si>
  <si>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</si>
  <si>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</si>
  <si>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</si>
  <si>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</si>
  <si>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</si>
  <si>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</si>
  <si>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</si>
  <si>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</si>
  <si>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</si>
  <si>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</si>
  <si>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</si>
  <si>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</si>
  <si>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</si>
  <si>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</si>
  <si>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</si>
  <si>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</si>
  <si>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</si>
  <si>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</si>
  <si>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</si>
  <si>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</si>
  <si>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</si>
  <si>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</si>
  <si>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</si>
  <si>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</si>
  <si>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</si>
  <si>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</si>
  <si>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</si>
  <si>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</si>
  <si>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</si>
  <si>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</si>
  <si>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</si>
  <si>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</si>
  <si>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</si>
  <si>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</si>
  <si>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</si>
  <si>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</si>
  <si>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</si>
  <si>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</si>
  <si>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</si>
  <si>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</si>
  <si>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</si>
  <si>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</si>
  <si>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</si>
  <si>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</si>
  <si>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</si>
  <si>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</si>
  <si>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</si>
  <si>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</si>
  <si>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</si>
  <si>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</si>
  <si>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</si>
  <si>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</si>
  <si>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</si>
  <si>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</si>
  <si>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</si>
  <si>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</si>
  <si>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</si>
  <si>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</si>
  <si>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</si>
  <si>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</si>
  <si>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</si>
  <si>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</si>
  <si>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</si>
  <si>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</si>
  <si>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</si>
  <si>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</si>
  <si>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</si>
  <si>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</si>
  <si>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</si>
  <si>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</si>
  <si>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</si>
  <si>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</si>
  <si>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</si>
  <si>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</si>
  <si>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</si>
  <si>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</si>
  <si>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</si>
  <si>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</si>
  <si>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</si>
  <si>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</si>
  <si>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</si>
  <si>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</si>
  <si>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</si>
  <si>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</si>
  <si>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</si>
  <si>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</si>
  <si>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</si>
  <si>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</si>
  <si>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</si>
  <si>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</si>
  <si>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</si>
  <si>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</si>
  <si>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</si>
  <si>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</si>
  <si>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</si>
  <si>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</si>
  <si>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</si>
  <si>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</si>
  <si>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</si>
  <si>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</si>
  <si>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</si>
  <si>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</si>
  <si>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</si>
  <si>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</si>
  <si>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</si>
  <si>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</si>
  <si>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</si>
  <si>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</si>
  <si>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</si>
  <si>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</si>
  <si>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</si>
  <si>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</si>
  <si>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</si>
  <si>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</si>
  <si>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</si>
  <si>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</si>
  <si>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</si>
  <si>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</si>
  <si>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</si>
  <si>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</si>
  <si>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</si>
  <si>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</si>
  <si>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</si>
  <si>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</si>
  <si>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</si>
  <si>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</si>
  <si>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</si>
  <si>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</si>
  <si>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</si>
  <si>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</si>
  <si>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</si>
  <si>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</si>
  <si>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</si>
  <si>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</si>
  <si>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</si>
  <si>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</si>
  <si>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</si>
  <si>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</si>
  <si>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</si>
  <si>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</si>
  <si>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</si>
  <si>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</si>
  <si>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</si>
  <si>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</si>
  <si>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</si>
  <si>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</si>
  <si>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</si>
  <si>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</si>
  <si>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</si>
  <si>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</si>
  <si>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</si>
  <si>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</si>
  <si>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</si>
  <si>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</si>
  <si>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</si>
  <si>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</si>
  <si>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</si>
  <si>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</si>
  <si>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</si>
  <si>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</si>
  <si>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</si>
  <si>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</si>
  <si>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</si>
  <si>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</si>
  <si>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</si>
  <si>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</si>
  <si>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</si>
  <si>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</si>
  <si>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</si>
  <si>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</si>
  <si>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</si>
  <si>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</si>
  <si>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</si>
  <si>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</si>
  <si>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</si>
  <si>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</si>
  <si>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</si>
  <si>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</si>
  <si>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</si>
  <si>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</si>
  <si>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</si>
  <si>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</si>
  <si>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</si>
  <si>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</si>
  <si>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</si>
  <si>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</si>
  <si>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</si>
  <si>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</si>
  <si>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</si>
  <si>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</si>
  <si>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</si>
  <si>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</si>
  <si>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</si>
  <si>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</si>
  <si>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</si>
  <si>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</si>
  <si>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</si>
  <si>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</si>
  <si>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</si>
  <si>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</si>
  <si>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</si>
  <si>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</si>
  <si>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</si>
  <si>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</si>
  <si>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</si>
  <si>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</si>
  <si>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</si>
  <si>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</si>
  <si>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</si>
  <si>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</si>
  <si>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</si>
  <si>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</si>
  <si>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</si>
  <si>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</si>
  <si>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</si>
  <si>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</si>
  <si>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</si>
  <si>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</si>
  <si>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</si>
  <si>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</si>
  <si>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</si>
  <si>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</si>
  <si>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</si>
  <si>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</si>
  <si>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</si>
  <si>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</si>
  <si>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</si>
  <si>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</si>
  <si>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</si>
  <si>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</si>
  <si>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</si>
  <si>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</si>
  <si>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</si>
  <si>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</si>
  <si>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</si>
  <si>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</si>
  <si>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</si>
  <si>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</si>
  <si>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</si>
  <si>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</si>
  <si>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</si>
  <si>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</si>
  <si>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</si>
  <si>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</si>
  <si>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</si>
  <si>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</si>
  <si>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</si>
  <si>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</si>
  <si>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</si>
  <si>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</si>
  <si>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</si>
  <si>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</si>
  <si>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</si>
  <si>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</si>
  <si>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</si>
  <si>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</si>
  <si>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</si>
  <si>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</si>
  <si>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</si>
  <si>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</si>
  <si>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</si>
  <si>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</si>
  <si>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</si>
  <si>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</si>
  <si>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</si>
  <si>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</si>
  <si>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</si>
  <si>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</si>
  <si>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</si>
  <si>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</si>
  <si>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</si>
  <si>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</si>
  <si>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</si>
  <si>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</si>
  <si>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</si>
  <si>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</si>
  <si>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</si>
  <si>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</si>
  <si>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</si>
  <si>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</si>
  <si>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</si>
  <si>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</si>
  <si>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</si>
  <si>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</si>
  <si>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</si>
  <si>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</si>
  <si>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</si>
  <si>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</si>
  <si>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Technology</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</si>
  <si>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</si>
  <si>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</si>
  <si>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</si>
  <si>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</si>
  <si>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</si>
  <si>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</si>
  <si>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</si>
  <si>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</si>
  <si>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</si>
  <si>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</si>
  <si>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</si>
  <si>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</si>
  <si>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</si>
  <si>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</si>
  <si>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</si>
  <si>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</si>
  <si>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</si>
  <si>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</si>
  <si>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</si>
  <si>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</si>
  <si>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</si>
  <si>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</si>
  <si>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</si>
  <si>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</si>
  <si>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</si>
  <si>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</si>
  <si>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</si>
  <si>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</si>
  <si>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</si>
  <si>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</si>
  <si>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</si>
  <si>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</si>
  <si>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</si>
  <si>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</si>
  <si>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</si>
  <si>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</si>
  <si>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</si>
  <si>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</si>
  <si>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</si>
  <si>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</si>
  <si>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</si>
  <si>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</si>
  <si>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</si>
  <si>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</si>
  <si>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Increase</t>
  </si>
  <si>
    <t>Living Faith Meal (Racine Cluster)</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</si>
  <si>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</si>
  <si>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</si>
  <si>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</si>
  <si>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</si>
  <si>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</si>
  <si>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</si>
  <si>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</si>
  <si>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</si>
  <si>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</si>
  <si>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</si>
  <si>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</si>
  <si>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</si>
  <si>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</si>
  <si>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</si>
  <si>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</si>
  <si>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</si>
  <si>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</si>
  <si>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</si>
  <si>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</si>
  <si>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</si>
  <si>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</si>
  <si>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</si>
  <si>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</si>
  <si>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</si>
  <si>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</si>
  <si>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</si>
  <si>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</si>
  <si>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</si>
  <si>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</si>
  <si>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</si>
  <si>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</si>
  <si>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</si>
  <si>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</si>
  <si>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</si>
  <si>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</si>
  <si>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</si>
  <si>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</si>
  <si>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</si>
  <si>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________________________________________________________</t>
  </si>
  <si>
    <t xml:space="preserve">The Lutheran Church of the Resurrection Finance Committee advises the Executive </t>
  </si>
  <si>
    <t>Federal Income Tax with respect to the housing allowance paid as part of compensation</t>
  </si>
  <si>
    <t>(Tony Baumgardt, Council President)</t>
  </si>
  <si>
    <t>Rounded to highest $100</t>
  </si>
  <si>
    <t>Home owners Ins. &amp; Mortgage Ins.</t>
  </si>
  <si>
    <t>owns a home, this amount is the smallest of:</t>
  </si>
  <si>
    <t>2024 ELCA
 Guidelines</t>
  </si>
  <si>
    <t>Seminarian Fund</t>
  </si>
  <si>
    <t>Provide by member for someone to go to Seminary</t>
  </si>
  <si>
    <t>Food Cupboard Fund</t>
  </si>
  <si>
    <t>Holding account for money that is donated and then check written to the Food Cupboard</t>
  </si>
  <si>
    <t>Sunday School fundraised money goes here.</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</si>
  <si>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</si>
  <si>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</si>
  <si>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</si>
  <si>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</si>
  <si>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</si>
  <si>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</si>
  <si>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</si>
  <si>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</si>
  <si>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</si>
  <si>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</si>
  <si>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</si>
  <si>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</si>
  <si>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Money for Jim S to purhase needed musci, etc.</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</si>
  <si>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</si>
  <si>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</si>
  <si>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</si>
  <si>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</si>
  <si>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</si>
  <si>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</si>
  <si>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</si>
  <si>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</si>
  <si>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</si>
  <si>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Budget:  12 months including substitutes, 1 sound person</t>
  </si>
  <si>
    <t>TOTAL MUSICIANS</t>
  </si>
  <si>
    <t>2025:  $250 for Racine Interfaith Coalition advertisement was $125 for 2024</t>
  </si>
  <si>
    <t>Reduced per John</t>
  </si>
  <si>
    <t>Increased per John</t>
  </si>
  <si>
    <t>Staff Christmas Gifts</t>
  </si>
  <si>
    <t>Budget:  $500 Christmas Party, $200 Council exit Gifts, (ask John why increase?)</t>
  </si>
  <si>
    <t>Ryan Gerlach</t>
  </si>
  <si>
    <t>Start date:  9/5/24</t>
  </si>
  <si>
    <t>Start 9/5/2024</t>
  </si>
  <si>
    <t>2024 Contract</t>
  </si>
  <si>
    <t>Also, up to $5,000 for moving/travel, $900 for one family trip, and  $1000 is still available for decorating of office.</t>
  </si>
  <si>
    <t>2025 ELCA
 Guidelines</t>
  </si>
  <si>
    <t>Pastor Healthcare Premium</t>
  </si>
  <si>
    <t>Mark</t>
  </si>
  <si>
    <t>Glenn</t>
  </si>
  <si>
    <t>Get from Cheryl</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</si>
  <si>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</si>
  <si>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</si>
  <si>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</si>
  <si>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</si>
  <si>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</si>
  <si>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</si>
  <si>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</si>
  <si>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</si>
  <si>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</si>
  <si>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</si>
  <si>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</si>
  <si>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</si>
  <si>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</si>
  <si>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August 2024 YTD Actual</t>
  </si>
  <si>
    <t>August 2024 YTD Budget</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</si>
  <si>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</si>
  <si>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</si>
  <si>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</si>
  <si>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</si>
  <si>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</si>
  <si>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</si>
  <si>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</si>
  <si>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</si>
  <si>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</si>
  <si>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</si>
  <si>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</si>
  <si>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</si>
  <si>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 xml:space="preserve">Why so low?  </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</si>
  <si>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</si>
  <si>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</si>
  <si>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</si>
  <si>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</si>
  <si>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</si>
  <si>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</si>
  <si>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</si>
  <si>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</si>
  <si>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</si>
  <si>
    <t>Next year need to add this</t>
  </si>
  <si>
    <t>Per John</t>
  </si>
  <si>
    <t>2% COLA and 2% Experience</t>
  </si>
  <si>
    <t>Home Warranty</t>
  </si>
  <si>
    <t>Internet</t>
  </si>
  <si>
    <t>Mortgage Ins.</t>
  </si>
  <si>
    <t>Garage Springs (2)</t>
  </si>
  <si>
    <t>Expense Account Owner</t>
  </si>
  <si>
    <t>Barb Steberl</t>
  </si>
  <si>
    <t>Kathy Anderson</t>
  </si>
  <si>
    <t>P. John A.</t>
  </si>
  <si>
    <t>Delete</t>
  </si>
  <si>
    <t>Stacey Robe</t>
  </si>
  <si>
    <t>Cheryl C.</t>
  </si>
  <si>
    <t>Steve J.</t>
  </si>
  <si>
    <t>Mary Hauch</t>
  </si>
  <si>
    <t>Cheryl. C.</t>
  </si>
  <si>
    <t>Dawn J.</t>
  </si>
  <si>
    <t>Jon Wint</t>
  </si>
  <si>
    <t>Jay Weiss</t>
  </si>
  <si>
    <t>Sandy Georgeson</t>
  </si>
  <si>
    <t>Gayle Wint</t>
  </si>
  <si>
    <t>Women of the Vine</t>
  </si>
  <si>
    <t>Lynette J.</t>
  </si>
  <si>
    <t>P. Ryan G.</t>
  </si>
  <si>
    <t>Jeff. Wunderle</t>
  </si>
  <si>
    <t>???</t>
  </si>
  <si>
    <t>Est:  $480k or increase of $76k</t>
  </si>
  <si>
    <t>Greater Milw. Synod</t>
  </si>
  <si>
    <t>New Total Benevolence for 2024</t>
  </si>
  <si>
    <t>2025 Housing Allowance for Pastor John Anderson</t>
  </si>
  <si>
    <t xml:space="preserve">a home during the period of January to December 2025 and in light of the Federal </t>
  </si>
  <si>
    <t>Pastor John Anderson is to receive a housing allowance of $24,000</t>
  </si>
  <si>
    <t>for the year 2025.</t>
  </si>
  <si>
    <t>Tony B.</t>
  </si>
  <si>
    <t>Rachel P.</t>
  </si>
  <si>
    <t>Fin. Comm.</t>
  </si>
  <si>
    <t>Fin. /Council</t>
  </si>
  <si>
    <t>Council</t>
  </si>
  <si>
    <t>Marilyn K.</t>
  </si>
  <si>
    <t>HOA Fee</t>
  </si>
  <si>
    <t xml:space="preserve">Water </t>
  </si>
  <si>
    <t>Home owners Ins.</t>
  </si>
  <si>
    <t>Pastor Ryan Gerlach is to receive a housing allowance of $35,400</t>
  </si>
  <si>
    <t>2025 Housing Allowance for Pastor Ryan Gerlach</t>
  </si>
  <si>
    <t>2024 Additional Funds</t>
  </si>
  <si>
    <t>2024 Spending</t>
  </si>
  <si>
    <t>2024 ending Balance</t>
  </si>
  <si>
    <t>Trend Micro Subscription</t>
  </si>
  <si>
    <t>New Service</t>
  </si>
  <si>
    <t>Adobe Premiem License</t>
  </si>
  <si>
    <t>ProPresenter License</t>
  </si>
  <si>
    <t>Microsoft Exchange License</t>
  </si>
  <si>
    <t>Social Media Marketing</t>
  </si>
  <si>
    <t>Shephard Staff Accounting</t>
  </si>
  <si>
    <t>Flock Note License</t>
  </si>
  <si>
    <t>I drive Server Backup</t>
  </si>
  <si>
    <t xml:space="preserve">New  </t>
  </si>
  <si>
    <t>New</t>
  </si>
  <si>
    <t>Ring Door Bell</t>
  </si>
  <si>
    <t>Name.com</t>
  </si>
  <si>
    <t>Not need this year</t>
  </si>
  <si>
    <t>Not need</t>
  </si>
  <si>
    <t>Sound System/Tech Booth</t>
  </si>
  <si>
    <t>2026 Additional Needs</t>
  </si>
  <si>
    <t>Total Additional for 2026</t>
  </si>
  <si>
    <t>2027-2030 Additional</t>
  </si>
  <si>
    <t>Total Additional 2027-2030</t>
  </si>
  <si>
    <t>Budget goes into Dedicated fund if not used in current year</t>
  </si>
  <si>
    <t>Fellowship Hall:   Sound</t>
  </si>
  <si>
    <t>Fellowship Hall:   2nd TV</t>
  </si>
  <si>
    <t>Tech Booth:   Stream Hardware</t>
  </si>
  <si>
    <t>Tech Booth:   Computer Replacement</t>
  </si>
  <si>
    <t>Conference Room:  Phase 1 renovation</t>
  </si>
  <si>
    <t>Sanctuary:   4k projection</t>
  </si>
  <si>
    <t>Sanctuary:  Lighting system</t>
  </si>
  <si>
    <t>Conference Room:   Phase 2 renovation</t>
  </si>
  <si>
    <t>Tech Book:   Network upgrade (Ubiquiti UniFi?)</t>
  </si>
  <si>
    <t>Media:   New Camera</t>
  </si>
  <si>
    <t>3 year subscription</t>
  </si>
  <si>
    <t>Additional Increase 10%</t>
  </si>
  <si>
    <t>Not sure on this</t>
  </si>
  <si>
    <t>New:  Future Technology Dedicated/Restricted</t>
  </si>
  <si>
    <t>Any charges must be approved by Council only!</t>
  </si>
  <si>
    <t>2024 Year End Tasks</t>
  </si>
  <si>
    <t>Housing Letters (John and Ryan) - Need copy for my files.</t>
  </si>
  <si>
    <t>Workman's Comp for 2025???</t>
  </si>
  <si>
    <t>Move Storage Room Extra (dedicated) to Facilities Reserve</t>
  </si>
  <si>
    <t>Move $2K tech operating fund into dedicated fund - computer replacement</t>
  </si>
  <si>
    <t>What is the expected balance in the Pastor Call Account?  Is there room for the $1,431.22 extra in moving for P Ryan?</t>
  </si>
  <si>
    <t>Move Continuing Ed expense to dedicated John and Ryan (need separate accounts)</t>
  </si>
  <si>
    <t>Pay Ryan for the camera lense plus ($1,494.95) and the Wireless Video Transmission $369 - both to technology dedicated account</t>
  </si>
  <si>
    <t>Microsoft Exchange License (Email)</t>
  </si>
  <si>
    <t>Flock Note (Group email)</t>
  </si>
  <si>
    <t>iDrive Servere Backup</t>
  </si>
  <si>
    <t>Name.com (website name maint)</t>
  </si>
  <si>
    <t>Beginning in 2025 charge the following to Tech operating account</t>
  </si>
  <si>
    <t>Transfer $1,000 to Technology Dedicated outside specialist</t>
  </si>
  <si>
    <t>Transfer $16,810 to the a New Dedicated "Future Technology" or Restricted Account ONLY Council Approved</t>
  </si>
  <si>
    <t>Benevolance:  10% total income.  To the 5 groups</t>
  </si>
  <si>
    <t>Year end staff gifts:</t>
  </si>
  <si>
    <t xml:space="preserve">  $195 gift cards</t>
  </si>
  <si>
    <t xml:space="preserve">  3 checks</t>
  </si>
  <si>
    <t>Pastor Healthcare premium</t>
  </si>
  <si>
    <t>Bi Weekly Premiums for 2025</t>
  </si>
  <si>
    <t xml:space="preserve">  Dental</t>
  </si>
  <si>
    <t xml:space="preserve">  Vision</t>
  </si>
  <si>
    <t xml:space="preserve">     Health Care Penalty</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</si>
</sst>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2">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174" fontId="14" fillId="0" borderId="0" xfId="1" applyNumberFormat="1" applyFont="1" applyBorder="1"/>
    <xf numFmtId="0" fontId="2" fillId="0" borderId="21" xfId="0" applyFont="1" applyBorder="1"/>
    <xf numFmtId="174" fontId="7"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0" fillId="0" borderId="29" xfId="0" applyFill="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44" fontId="11" fillId="0" borderId="0" xfId="3" applyNumberFormat="1" applyFont="1" applyBorder="1" applyAlignment="1">
      <alignment vertical="center"/>
    </xf>
    <xf numFmtId="0" fontId="11" fillId="0" borderId="24" xfId="0" applyFont="1" applyBorder="1" applyAlignment="1">
      <alignment vertical="center"/>
    </xf>
    <xf numFmtId="164" fontId="1" fillId="0" borderId="29" xfId="1"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164" fontId="11" fillId="0" borderId="33" xfId="1" applyNumberFormat="1" applyFont="1" applyFill="1" applyBorder="1" applyAlignment="1">
      <alignment vertical="center"/>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0" fontId="11" fillId="0" borderId="33" xfId="2" applyNumberFormat="1" applyFont="1" applyBorder="1" applyAlignment="1">
      <alignment horizontal="left" vertical="center" wrapText="1"/>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13" fillId="0" borderId="0" xfId="1" applyNumberFormat="1" applyFont="1" applyAlignment="1">
      <alignment horizontal="center"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43" fontId="14" fillId="0" borderId="26" xfId="3" applyFont="1" applyBorder="1" applyAlignment="1">
      <alignment vertical="center" wrapText="1"/>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164" fontId="6" fillId="0" borderId="29" xfId="1" applyNumberFormat="1" applyFont="1" applyFill="1" applyBorder="1" applyAlignment="1">
      <alignment horizontal="right" vertical="center"/>
    </xf>
    <xf numFmtId="0" fontId="45" fillId="0" borderId="23" xfId="0" applyFont="1" applyBorder="1" applyAlignment="1">
      <alignment horizontal="left" vertical="center"/>
    </xf>
    <xf numFmtId="44" fontId="14" fillId="0" borderId="21" xfId="1" applyFont="1" applyBorder="1" applyAlignment="1">
      <alignment vertical="center"/>
    </xf>
    <xf numFmtId="44" fontId="14" fillId="0" borderId="22" xfId="1" applyFont="1" applyBorder="1" applyAlignment="1">
      <alignment vertical="center"/>
    </xf>
    <xf numFmtId="5" fontId="0" fillId="0" borderId="30" xfId="0" applyNumberFormat="1" applyFill="1" applyBorder="1" applyAlignment="1">
      <alignment vertical="center"/>
    </xf>
    <xf numFmtId="164" fontId="1" fillId="3" borderId="0" xfId="1" applyNumberFormat="1" applyFont="1" applyFill="1" applyAlignment="1">
      <alignment horizontal="center" vertical="center"/>
    </xf>
    <xf numFmtId="164" fontId="13" fillId="0" borderId="33" xfId="1" applyNumberFormat="1" applyFont="1" applyFill="1" applyBorder="1" applyAlignment="1">
      <alignment horizontal="center" vertical="center"/>
    </xf>
    <xf numFmtId="164" fontId="1" fillId="0" borderId="33" xfId="1" applyNumberFormat="1" applyFont="1" applyFill="1" applyBorder="1" applyAlignment="1">
      <alignment horizontal="center" vertical="center"/>
    </xf>
    <xf numFmtId="164" fontId="1" fillId="0" borderId="33" xfId="1" applyNumberFormat="1" applyFont="1" applyBorder="1" applyAlignment="1">
      <alignment horizontal="center" vertical="center"/>
    </xf>
    <xf numFmtId="164" fontId="13" fillId="0" borderId="34" xfId="1" applyNumberFormat="1" applyFont="1" applyBorder="1" applyAlignment="1">
      <alignment horizontal="center" vertical="center"/>
    </xf>
    <xf numFmtId="164" fontId="13" fillId="0" borderId="32" xfId="1" applyNumberFormat="1" applyFont="1" applyFill="1" applyBorder="1" applyAlignment="1">
      <alignment horizontal="center" vertical="center"/>
    </xf>
    <xf numFmtId="164" fontId="1" fillId="0" borderId="32" xfId="1" applyNumberFormat="1" applyFont="1" applyFill="1" applyBorder="1" applyAlignment="1">
      <alignment horizontal="center" vertical="center"/>
    </xf>
    <xf numFmtId="164" fontId="13" fillId="0" borderId="32" xfId="1" applyNumberFormat="1" applyFont="1" applyBorder="1" applyAlignment="1">
      <alignment horizontal="center" vertical="center"/>
    </xf>
    <xf numFmtId="164" fontId="13" fillId="0" borderId="0" xfId="1" applyNumberFormat="1" applyFont="1" applyBorder="1" applyAlignment="1">
      <alignment horizontal="center" vertical="center"/>
    </xf>
    <xf numFmtId="164" fontId="13" fillId="0" borderId="33" xfId="1" applyNumberFormat="1" applyFont="1" applyBorder="1" applyAlignment="1">
      <alignment horizontal="center" vertical="center"/>
    </xf>
    <xf numFmtId="0" fontId="2" fillId="0" borderId="4"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left" vertical="center"/>
    </xf>
    <xf numFmtId="0" fontId="0" fillId="0" borderId="0" xfId="0" applyFill="1" applyBorder="1"/>
    <xf numFmtId="174" fontId="2" fillId="0" borderId="0" xfId="0" applyNumberFormat="1" applyFont="1" applyBorder="1" applyAlignment="1">
      <alignment horizontal="right" wrapText="1"/>
    </xf>
    <xf numFmtId="174" fontId="0" fillId="0" borderId="0" xfId="0" applyNumberFormat="1" applyFont="1" applyBorder="1" applyAlignment="1">
      <alignment horizontal="right"/>
    </xf>
    <xf numFmtId="0" fontId="2" fillId="0" borderId="0" xfId="0" applyFont="1" applyBorder="1" applyAlignment="1">
      <alignment horizontal="center" wrapText="1"/>
    </xf>
    <xf numFmtId="174" fontId="7" fillId="0" borderId="0" xfId="1" applyNumberFormat="1" applyFont="1" applyBorder="1" applyAlignment="1">
      <alignment horizontal="center" wrapText="1"/>
    </xf>
    <xf numFmtId="44" fontId="2" fillId="0" borderId="0" xfId="0" applyNumberFormat="1" applyFont="1" applyFill="1" applyBorder="1" applyAlignment="1">
      <alignment vertical="center"/>
    </xf>
    <xf numFmtId="44" fontId="14" fillId="0" borderId="0" xfId="1" applyFont="1" applyFill="1" applyBorder="1" applyAlignment="1">
      <alignment vertical="center"/>
    </xf>
    <xf numFmtId="0" fontId="45" fillId="0" borderId="0" xfId="0" applyFont="1" applyBorder="1" applyAlignment="1">
      <alignment vertical="center"/>
    </xf>
    <xf numFmtId="0" fontId="45" fillId="0" borderId="18" xfId="0" applyFont="1" applyFill="1" applyBorder="1" applyAlignment="1">
      <alignment horizontal="left" vertical="center"/>
    </xf>
    <xf numFmtId="44" fontId="14" fillId="0" borderId="18" xfId="1" applyFont="1" applyFill="1" applyBorder="1" applyAlignment="1">
      <alignment vertical="center"/>
    </xf>
    <xf numFmtId="164" fontId="14" fillId="0" borderId="30" xfId="0" applyNumberFormat="1" applyFont="1" applyFill="1" applyBorder="1" applyAlignment="1">
      <alignment vertical="center"/>
    </xf>
    <xf numFmtId="0" fontId="0" fillId="0" borderId="0" xfId="0" applyBorder="1" applyAlignment="1">
      <alignment horizontal="left" vertical="center"/>
    </xf>
    <xf numFmtId="167" fontId="14" fillId="0" borderId="25" xfId="3" applyNumberFormat="1" applyFont="1" applyBorder="1" applyAlignment="1">
      <alignment vertical="center"/>
    </xf>
    <xf numFmtId="167" fontId="2" fillId="11" borderId="25" xfId="0" applyNumberFormat="1" applyFont="1" applyFill="1" applyBorder="1" applyAlignment="1">
      <alignment vertical="center"/>
    </xf>
    <xf numFmtId="167" fontId="0" fillId="0" borderId="25" xfId="0" applyNumberFormat="1" applyBorder="1" applyAlignment="1">
      <alignment vertical="center"/>
    </xf>
    <xf numFmtId="167" fontId="0" fillId="0" borderId="0" xfId="0" applyNumberFormat="1" applyBorder="1" applyAlignment="1">
      <alignment vertical="center"/>
    </xf>
    <xf numFmtId="0" fontId="45" fillId="0" borderId="6" xfId="0" applyFont="1" applyBorder="1" applyAlignment="1">
      <alignment vertical="center"/>
    </xf>
    <xf numFmtId="0" fontId="0" fillId="0" borderId="0" xfId="0" applyAlignment="1">
      <alignment vertical="top"/>
    </xf>
    <xf numFmtId="167" fontId="14" fillId="0" borderId="25" xfId="3" applyNumberFormat="1" applyFont="1" applyBorder="1" applyAlignment="1">
      <alignment vertical="top"/>
    </xf>
    <xf numFmtId="167" fontId="14" fillId="0" borderId="0" xfId="3" applyNumberFormat="1" applyFont="1" applyBorder="1" applyAlignment="1">
      <alignment vertical="top"/>
    </xf>
    <xf numFmtId="0" fontId="2" fillId="11" borderId="0" xfId="0" applyFont="1" applyFill="1" applyAlignment="1">
      <alignment vertical="top"/>
    </xf>
    <xf numFmtId="167" fontId="2" fillId="11" borderId="9" xfId="0" applyNumberFormat="1" applyFont="1" applyFill="1" applyBorder="1" applyAlignment="1">
      <alignment vertical="top"/>
    </xf>
    <xf numFmtId="167" fontId="2" fillId="11" borderId="8" xfId="0" applyNumberFormat="1" applyFont="1" applyFill="1" applyBorder="1" applyAlignment="1">
      <alignment vertical="top"/>
    </xf>
    <xf numFmtId="0" fontId="0" fillId="0" borderId="0" xfId="0" applyBorder="1" applyAlignment="1">
      <alignment vertical="top"/>
    </xf>
    <xf numFmtId="0" fontId="0" fillId="11" borderId="8" xfId="0" applyFill="1" applyBorder="1" applyAlignment="1">
      <alignment vertical="top"/>
    </xf>
    <xf numFmtId="0" fontId="0" fillId="0" borderId="5" xfId="0" applyBorder="1" applyAlignment="1">
      <alignment vertical="center"/>
    </xf>
    <xf numFmtId="0" fontId="0" fillId="0" borderId="10" xfId="0" applyBorder="1" applyAlignment="1">
      <alignment vertical="center"/>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67" fontId="6" fillId="0" borderId="25" xfId="3" applyNumberFormat="1" applyFont="1" applyBorder="1" applyAlignment="1">
      <alignment vertical="top"/>
    </xf>
    <xf numFmtId="167" fontId="7" fillId="11" borderId="9" xfId="0" applyNumberFormat="1" applyFont="1" applyFill="1" applyBorder="1" applyAlignment="1">
      <alignment vertical="top"/>
    </xf>
    <xf numFmtId="0" fontId="2" fillId="0" borderId="6" xfId="0" applyFont="1" applyBorder="1" applyAlignment="1">
      <alignment horizontal="center" vertical="center" wrapText="1"/>
    </xf>
    <xf numFmtId="167" fontId="7" fillId="0" borderId="26" xfId="3" applyNumberFormat="1" applyFont="1" applyBorder="1" applyAlignment="1">
      <alignment vertical="top"/>
    </xf>
    <xf numFmtId="167" fontId="7" fillId="11" borderId="10" xfId="0" applyNumberFormat="1" applyFont="1" applyFill="1" applyBorder="1" applyAlignment="1">
      <alignment vertical="top"/>
    </xf>
    <xf numFmtId="167" fontId="2" fillId="0" borderId="9" xfId="0" applyNumberFormat="1" applyFont="1" applyBorder="1" applyAlignment="1">
      <alignment vertical="center"/>
    </xf>
    <xf numFmtId="43" fontId="2" fillId="0" borderId="8" xfId="0" applyNumberFormat="1" applyFont="1" applyBorder="1" applyAlignment="1">
      <alignment vertical="center"/>
    </xf>
    <xf numFmtId="43" fontId="2" fillId="0" borderId="10" xfId="0" applyNumberFormat="1" applyFont="1" applyBorder="1" applyAlignment="1">
      <alignment vertical="center"/>
    </xf>
    <xf numFmtId="0" fontId="2" fillId="11" borderId="9" xfId="0" applyFont="1" applyFill="1" applyBorder="1" applyAlignment="1">
      <alignment vertical="center"/>
    </xf>
    <xf numFmtId="0" fontId="2" fillId="11" borderId="8" xfId="0" applyFont="1" applyFill="1" applyBorder="1" applyAlignment="1">
      <alignment vertical="center"/>
    </xf>
    <xf numFmtId="167" fontId="7" fillId="11" borderId="8" xfId="0" applyNumberFormat="1" applyFont="1" applyFill="1" applyBorder="1" applyAlignment="1">
      <alignment vertical="top"/>
    </xf>
    <xf numFmtId="0" fontId="2" fillId="11" borderId="10" xfId="0" applyFont="1" applyFill="1" applyBorder="1" applyAlignment="1">
      <alignment vertical="center"/>
    </xf>
    <xf numFmtId="164" fontId="13" fillId="0" borderId="32" xfId="1" applyNumberFormat="1" applyFont="1" applyBorder="1" applyAlignment="1">
      <alignment vertical="center"/>
    </xf>
    <xf numFmtId="164" fontId="2" fillId="0" borderId="32" xfId="1" applyNumberFormat="1" applyFont="1" applyFill="1" applyBorder="1" applyAlignment="1">
      <alignment vertical="center"/>
    </xf>
    <xf numFmtId="0" fontId="0" fillId="11" borderId="75" xfId="0" applyFill="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0" fontId="0" fillId="0" borderId="75" xfId="0" applyBorder="1" applyAlignment="1">
      <alignment horizontal="center" vertical="center"/>
    </xf>
    <xf numFmtId="0" fontId="2" fillId="11" borderId="76" xfId="0" applyFont="1" applyFill="1" applyBorder="1" applyAlignment="1">
      <alignment vertical="center"/>
    </xf>
    <xf numFmtId="174" fontId="12" fillId="11" borderId="76" xfId="1" applyNumberFormat="1" applyFont="1" applyFill="1" applyBorder="1" applyAlignment="1">
      <alignment vertical="center"/>
    </xf>
    <xf numFmtId="174" fontId="2" fillId="11" borderId="76" xfId="0" applyNumberFormat="1" applyFont="1" applyFill="1" applyBorder="1" applyAlignment="1">
      <alignment vertical="center"/>
    </xf>
    <xf numFmtId="0" fontId="2" fillId="11" borderId="77" xfId="0" applyFont="1" applyFill="1" applyBorder="1" applyAlignment="1">
      <alignment vertical="center"/>
    </xf>
    <xf numFmtId="0" fontId="2" fillId="0" borderId="0" xfId="0" applyFont="1" applyBorder="1" applyAlignment="1">
      <alignment horizontal="left" vertical="center"/>
    </xf>
    <xf numFmtId="0" fontId="7" fillId="11" borderId="75" xfId="0" applyFont="1" applyFill="1" applyBorder="1" applyAlignment="1">
      <alignment horizontal="center" vertical="center"/>
    </xf>
    <xf numFmtId="0" fontId="7" fillId="11" borderId="76" xfId="0" applyFont="1" applyFill="1" applyBorder="1" applyAlignment="1">
      <alignment vertical="center"/>
    </xf>
    <xf numFmtId="174" fontId="7" fillId="11" borderId="76" xfId="0" applyNumberFormat="1" applyFont="1" applyFill="1" applyBorder="1" applyAlignment="1">
      <alignment vertical="center"/>
    </xf>
    <xf numFmtId="0" fontId="7" fillId="11" borderId="77" xfId="0" applyFont="1" applyFill="1" applyBorder="1" applyAlignment="1">
      <alignment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2" fillId="0" borderId="26" xfId="1" applyNumberFormat="1" applyFont="1" applyBorder="1" applyAlignment="1">
      <alignment horizontal="center" vertical="center" wrapText="1"/>
    </xf>
    <xf numFmtId="0" fontId="0" fillId="11" borderId="0" xfId="1" applyNumberFormat="1" applyFont="1" applyFill="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21" xfId="1" applyNumberFormat="1" applyFont="1" applyFill="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wrapText="1"/>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11" borderId="18" xfId="1" applyNumberFormat="1" applyFont="1" applyFill="1" applyBorder="1" applyAlignment="1">
      <alignment horizontal="left" vertical="center" wrapText="1"/>
    </xf>
    <xf numFmtId="164" fontId="2" fillId="9" borderId="18" xfId="1" applyNumberFormat="1" applyFont="1" applyFill="1" applyBorder="1" applyAlignment="1">
      <alignment horizontal="center" vertical="center" wrapText="1"/>
    </xf>
    <xf numFmtId="164" fontId="0" fillId="0" borderId="0" xfId="1" applyNumberFormat="1" applyFont="1" applyFill="1" applyBorder="1" applyAlignment="1">
      <alignment horizontal="left"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7"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2" fillId="0" borderId="0" xfId="0" applyFont="1" applyBorder="1" applyAlignment="1">
      <alignment horizontal="left" vertical="center"/>
    </xf>
    <xf numFmtId="174" fontId="12" fillId="0" borderId="0" xfId="1" applyNumberFormat="1" applyFont="1" applyBorder="1" applyAlignment="1">
      <alignment horizontal="right" vertical="center"/>
    </xf>
    <xf numFmtId="0" fontId="2" fillId="0" borderId="23" xfId="0" applyFont="1" applyBorder="1" applyAlignment="1">
      <alignment horizontal="center" vertical="center"/>
    </xf>
    <xf numFmtId="0" fontId="5" fillId="0" borderId="0" xfId="0" applyFont="1" applyAlignment="1">
      <alignment horizontal="center"/>
    </xf>
    <xf numFmtId="0" fontId="19" fillId="0" borderId="0" xfId="0" applyFont="1" applyAlignment="1">
      <alignment horizontal="center"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1" fillId="0" borderId="0" xfId="0" applyFont="1" applyAlignment="1">
      <alignment horizontal="center"/>
    </xf>
    <xf numFmtId="0" fontId="23" fillId="0" borderId="0" xfId="0" applyFont="1" applyAlignment="1">
      <alignment horizontal="center"/>
    </xf>
    <xf numFmtId="0" fontId="0" fillId="0" borderId="0" xfId="0" applyFill="1" applyBorder="1" applyAlignment="1">
      <alignment horizontal="left" vertical="center" wrapText="1"/>
    </xf>
    <xf numFmtId="0" fontId="0" fillId="0" borderId="21" xfId="0" applyBorder="1" applyAlignment="1">
      <alignment horizontal="left" vertical="center"/>
    </xf>
    <xf numFmtId="0" fontId="4" fillId="0" borderId="0" xfId="0" applyFont="1" applyAlignment="1">
      <alignment horizont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74" fontId="12" fillId="11" borderId="76" xfId="1" applyNumberFormat="1" applyFont="1" applyFill="1" applyBorder="1" applyAlignment="1">
      <alignment horizontal="right" vertical="center"/>
    </xf>
    <xf numFmtId="0" fontId="2" fillId="0" borderId="76" xfId="0" applyFont="1" applyBorder="1" applyAlignment="1">
      <alignment vertical="center"/>
    </xf>
    <xf numFmtId="174" fontId="12" fillId="0" borderId="76" xfId="1" applyNumberFormat="1" applyFont="1" applyBorder="1" applyAlignment="1">
      <alignment vertical="center"/>
    </xf>
    <xf numFmtId="44" fontId="14" fillId="0" borderId="24" xfId="0" applyNumberFormat="1" applyFont="1" applyBorder="1" applyAlignment="1">
      <alignment vertical="center"/>
    </xf>
    <xf numFmtId="44" fontId="2" fillId="11" borderId="2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vertical="top"/>
    </xf>
    <xf numFmtId="0" fontId="0" fillId="0" borderId="17" xfId="0" applyBorder="1" applyAlignment="1">
      <alignment horizontal="center" vertical="top"/>
    </xf>
    <xf numFmtId="0" fontId="0" fillId="0" borderId="19" xfId="0" applyBorder="1" applyAlignment="1">
      <alignment vertical="top"/>
    </xf>
    <xf numFmtId="0" fontId="0" fillId="0" borderId="23" xfId="0" applyBorder="1" applyAlignment="1">
      <alignment horizontal="center" vertical="top"/>
    </xf>
    <xf numFmtId="0" fontId="0" fillId="0" borderId="24" xfId="0" applyBorder="1" applyAlignment="1">
      <alignment vertical="top"/>
    </xf>
    <xf numFmtId="0" fontId="0" fillId="0" borderId="20" xfId="0" applyBorder="1" applyAlignment="1">
      <alignment horizontal="center" vertical="top"/>
    </xf>
    <xf numFmtId="0" fontId="0" fillId="0" borderId="22" xfId="0" applyBorder="1" applyAlignment="1">
      <alignment vertical="top"/>
    </xf>
    <xf numFmtId="0" fontId="0" fillId="0" borderId="125" xfId="0" applyBorder="1" applyAlignment="1">
      <alignment horizontal="center" vertical="top"/>
    </xf>
    <xf numFmtId="0" fontId="0" fillId="0" borderId="126" xfId="0" applyBorder="1" applyAlignment="1">
      <alignment vertical="top"/>
    </xf>
    <xf numFmtId="0" fontId="0" fillId="0" borderId="127" xfId="0" applyBorder="1" applyAlignment="1">
      <alignment horizontal="center" vertical="top"/>
    </xf>
    <xf numFmtId="0" fontId="0" fillId="0" borderId="128" xfId="0" applyBorder="1" applyAlignment="1">
      <alignment vertical="top"/>
    </xf>
    <xf numFmtId="0" fontId="0" fillId="0" borderId="128" xfId="0" applyBorder="1" applyAlignment="1">
      <alignment vertical="top" wrapText="1"/>
    </xf>
    <xf numFmtId="0" fontId="0" fillId="0" borderId="129" xfId="0" applyBorder="1" applyAlignment="1">
      <alignment horizontal="center" vertical="top"/>
    </xf>
    <xf numFmtId="0" fontId="0" fillId="0" borderId="130" xfId="0" applyBorder="1" applyAlignment="1">
      <alignment vertical="top"/>
    </xf>
    <xf numFmtId="0" fontId="0" fillId="0" borderId="131" xfId="0" applyBorder="1" applyAlignment="1">
      <alignment horizontal="center" vertical="top"/>
    </xf>
    <xf numFmtId="0" fontId="0" fillId="0" borderId="132" xfId="0" applyBorder="1" applyAlignment="1">
      <alignment vertical="top"/>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1.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177800</xdr:rowOff>
    </xdr:from>
    <xdr:to>
      <xdr:col>8</xdr:col>
      <xdr:colOff>6350</xdr:colOff>
      <xdr:row>29</xdr:row>
      <xdr:rowOff>6350</xdr:rowOff>
    </xdr:to>
    <xdr:cxnSp macro="">
      <xdr:nvCxnSpPr>
        <xdr:cNvPr id="2" name="Straight Connector 1"/>
        <xdr:cNvCxnSpPr/>
      </xdr:nvCxnSpPr>
      <xdr:spPr>
        <a:xfrm flipV="1">
          <a:off x="0" y="4603750"/>
          <a:ext cx="9099550" cy="635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9"/>
  <sheetViews>
    <sheetView showGridLines="0" topLeftCell="E7" workbookViewId="0">
      <selection activeCell="N23" sqref="N23"/>
    </sheetView>
  </sheetViews>
  <sheetFormatPr defaultRowHeight="14.5" x14ac:dyDescent="0.35"/>
  <cols>
    <col min="1" max="1" width="49.36328125" style="109" customWidth="1"/>
    <col min="2" max="2" width="13.90625" style="109" hidden="1" customWidth="1"/>
    <col min="3" max="3" width="14" style="109" hidden="1" customWidth="1"/>
    <col min="4" max="6" width="14" style="173" customWidth="1"/>
    <col min="7" max="7" width="14" style="173" hidden="1" customWidth="1"/>
    <col min="8" max="8" width="5.08984375" style="109" customWidth="1"/>
    <col min="9"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5" width="8.7265625" style="109"/>
    <col min="16" max="16" width="10.08984375" style="109" bestFit="1" customWidth="1"/>
    <col min="17" max="16384" width="8.7265625" style="109"/>
  </cols>
  <sheetData>
    <row r="1" spans="1:14" ht="21" x14ac:dyDescent="0.35">
      <c r="A1" s="1436" t="s">
        <v>578</v>
      </c>
      <c r="B1" s="1436"/>
      <c r="C1" s="1436"/>
      <c r="D1" s="1436"/>
      <c r="E1" s="1436"/>
      <c r="F1" s="1436"/>
      <c r="G1" s="1436"/>
      <c r="H1" s="1436"/>
      <c r="I1" s="1436"/>
      <c r="J1" s="1436"/>
      <c r="K1" s="1436"/>
      <c r="L1" s="1436"/>
      <c r="M1" s="1436"/>
      <c r="N1" s="1436"/>
    </row>
    <row r="2" spans="1:14" x14ac:dyDescent="0.35">
      <c r="A2" s="109" t="s">
        <v>579</v>
      </c>
      <c r="B2" s="741"/>
      <c r="C2" s="874"/>
      <c r="D2" s="1016"/>
      <c r="E2" s="1016"/>
      <c r="F2" s="1200"/>
      <c r="G2" s="1200"/>
    </row>
    <row r="3" spans="1:14" ht="43.5" customHeight="1" x14ac:dyDescent="0.35">
      <c r="A3" s="761"/>
      <c r="B3" s="1011" t="s">
        <v>577</v>
      </c>
      <c r="C3" s="734" t="s">
        <v>691</v>
      </c>
      <c r="D3" s="986" t="s">
        <v>567</v>
      </c>
      <c r="E3" s="986" t="s">
        <v>657</v>
      </c>
      <c r="F3" s="986" t="s">
        <v>713</v>
      </c>
      <c r="G3" s="986" t="s">
        <v>714</v>
      </c>
      <c r="I3" s="1178"/>
    </row>
    <row r="4" spans="1:14" ht="15" customHeight="1" x14ac:dyDescent="0.35">
      <c r="A4" s="761" t="s">
        <v>588</v>
      </c>
      <c r="B4" s="1012">
        <v>9</v>
      </c>
      <c r="C4" s="1014">
        <v>10</v>
      </c>
      <c r="D4" s="1017">
        <v>10</v>
      </c>
      <c r="E4" s="1017">
        <v>10</v>
      </c>
      <c r="F4" s="1017">
        <v>11</v>
      </c>
      <c r="G4" s="1017">
        <v>11</v>
      </c>
    </row>
    <row r="5" spans="1:14" ht="26" customHeight="1" x14ac:dyDescent="0.35">
      <c r="A5" s="761"/>
      <c r="B5" s="786"/>
      <c r="C5" s="1015" t="s">
        <v>592</v>
      </c>
      <c r="D5" s="1018"/>
      <c r="E5" s="1018"/>
      <c r="F5" s="1204" t="s">
        <v>775</v>
      </c>
      <c r="G5" s="1018"/>
    </row>
    <row r="6" spans="1:14" ht="15" customHeight="1" x14ac:dyDescent="0.35">
      <c r="A6" s="1013" t="s">
        <v>36</v>
      </c>
      <c r="B6" s="112">
        <f t="shared" ref="B6:G6" si="0">+B8-B7</f>
        <v>46565</v>
      </c>
      <c r="C6" s="507">
        <f t="shared" si="0"/>
        <v>52110</v>
      </c>
      <c r="D6" s="143">
        <f t="shared" si="0"/>
        <v>50055</v>
      </c>
      <c r="E6" s="143">
        <f t="shared" si="0"/>
        <v>52110</v>
      </c>
      <c r="F6" s="143">
        <f t="shared" si="0"/>
        <v>52164</v>
      </c>
      <c r="G6" s="143">
        <f t="shared" si="0"/>
        <v>52164</v>
      </c>
    </row>
    <row r="7" spans="1:14" ht="15" customHeight="1" thickBot="1" x14ac:dyDescent="0.4">
      <c r="A7" s="141" t="s">
        <v>125</v>
      </c>
      <c r="B7" s="114">
        <v>23255</v>
      </c>
      <c r="C7" s="509">
        <v>21200</v>
      </c>
      <c r="D7" s="148">
        <f>+B7</f>
        <v>23255</v>
      </c>
      <c r="E7" s="1176">
        <f>ROUND(+K39,0)</f>
        <v>21200</v>
      </c>
      <c r="F7" s="1263">
        <f>+K32</f>
        <v>24000</v>
      </c>
      <c r="G7" s="1176">
        <f>ROUND(+K32,0)</f>
        <v>24000</v>
      </c>
      <c r="I7" s="1180"/>
    </row>
    <row r="8" spans="1:14" ht="15" customHeight="1" x14ac:dyDescent="0.35">
      <c r="A8" s="141" t="s">
        <v>586</v>
      </c>
      <c r="B8" s="347">
        <f>46565+23255</f>
        <v>69820</v>
      </c>
      <c r="C8" s="546">
        <v>73310</v>
      </c>
      <c r="D8" s="372">
        <f>+C8</f>
        <v>73310</v>
      </c>
      <c r="E8" s="877">
        <f>+D8</f>
        <v>73310</v>
      </c>
      <c r="F8" s="372">
        <v>76164</v>
      </c>
      <c r="G8" s="792">
        <f>+F8</f>
        <v>76164</v>
      </c>
      <c r="H8" s="1177" t="s">
        <v>593</v>
      </c>
      <c r="I8" s="379"/>
    </row>
    <row r="9" spans="1:14" ht="15" customHeight="1" thickBot="1" x14ac:dyDescent="0.4">
      <c r="A9" s="994" t="s">
        <v>585</v>
      </c>
      <c r="B9" s="555">
        <v>2977</v>
      </c>
      <c r="C9" s="520">
        <v>2954</v>
      </c>
      <c r="D9" s="355">
        <f>+B9</f>
        <v>2977</v>
      </c>
      <c r="E9" s="1203">
        <f>+N23</f>
        <v>2954</v>
      </c>
      <c r="F9" s="1259">
        <f>+N18</f>
        <v>5559.11</v>
      </c>
      <c r="G9" s="1203">
        <f>+N18</f>
        <v>5559.11</v>
      </c>
      <c r="H9" s="1179" t="str">
        <f>"      $"&amp;(74671-73310)&amp;" additional from 10 year guidelines"</f>
        <v xml:space="preserve">      $1361 additional from 10 year guidelines</v>
      </c>
    </row>
    <row r="10" spans="1:14" ht="15" customHeight="1" thickBot="1" x14ac:dyDescent="0.4">
      <c r="A10" s="160" t="s">
        <v>142</v>
      </c>
      <c r="B10" s="117">
        <f t="shared" ref="B10:G10" si="1">+B8+B9</f>
        <v>72797</v>
      </c>
      <c r="C10" s="515">
        <f t="shared" si="1"/>
        <v>76264</v>
      </c>
      <c r="D10" s="350">
        <f t="shared" si="1"/>
        <v>76287</v>
      </c>
      <c r="E10" s="350">
        <f t="shared" si="1"/>
        <v>76264</v>
      </c>
      <c r="F10" s="350">
        <f t="shared" si="1"/>
        <v>81723.11</v>
      </c>
      <c r="G10" s="350">
        <f t="shared" si="1"/>
        <v>81723.11</v>
      </c>
      <c r="I10" s="1439" t="s">
        <v>674</v>
      </c>
      <c r="J10" s="1440"/>
      <c r="K10" s="1440"/>
      <c r="L10" s="1440"/>
      <c r="M10" s="1440"/>
      <c r="N10" s="1441"/>
    </row>
    <row r="11" spans="1:14" ht="15" customHeight="1" x14ac:dyDescent="0.35">
      <c r="A11" s="153" t="s">
        <v>421</v>
      </c>
      <c r="B11" s="556">
        <v>7.6499999999999999E-2</v>
      </c>
      <c r="C11" s="523">
        <v>7.6499999999999999E-2</v>
      </c>
      <c r="D11" s="1019">
        <f>+$B11</f>
        <v>7.6499999999999999E-2</v>
      </c>
      <c r="E11" s="1019">
        <f>+B11</f>
        <v>7.6499999999999999E-2</v>
      </c>
      <c r="F11" s="1019">
        <f>+$B11</f>
        <v>7.6499999999999999E-2</v>
      </c>
      <c r="G11" s="1019">
        <f>+D11</f>
        <v>7.6499999999999999E-2</v>
      </c>
      <c r="I11" s="1165">
        <v>2025</v>
      </c>
      <c r="J11" s="290"/>
      <c r="K11" s="290"/>
      <c r="L11" s="1166"/>
      <c r="M11" s="1437" t="s">
        <v>668</v>
      </c>
      <c r="N11" s="1167"/>
    </row>
    <row r="12" spans="1:14" ht="15" customHeight="1" x14ac:dyDescent="0.35">
      <c r="A12" s="153" t="s">
        <v>232</v>
      </c>
      <c r="B12" s="108">
        <f t="shared" ref="B12:G12" si="2">ROUND(+B10*B11,0)</f>
        <v>5569</v>
      </c>
      <c r="C12" s="516">
        <f t="shared" si="2"/>
        <v>5834</v>
      </c>
      <c r="D12" s="165">
        <f t="shared" si="2"/>
        <v>5836</v>
      </c>
      <c r="E12" s="165">
        <f t="shared" si="2"/>
        <v>5834</v>
      </c>
      <c r="F12" s="165">
        <f t="shared" si="2"/>
        <v>6252</v>
      </c>
      <c r="G12" s="165">
        <f t="shared" si="2"/>
        <v>6252</v>
      </c>
      <c r="I12" s="256" t="s">
        <v>877</v>
      </c>
      <c r="J12" s="257"/>
      <c r="K12" s="257"/>
      <c r="L12" s="1168" t="s">
        <v>666</v>
      </c>
      <c r="M12" s="1438"/>
      <c r="N12" s="1169" t="s">
        <v>669</v>
      </c>
    </row>
    <row r="13" spans="1:14" ht="15" customHeight="1" x14ac:dyDescent="0.35">
      <c r="A13" s="168" t="s">
        <v>144</v>
      </c>
      <c r="B13" s="119">
        <f t="shared" ref="B13:G13" si="3">+B10+B12</f>
        <v>78366</v>
      </c>
      <c r="C13" s="518">
        <f t="shared" si="3"/>
        <v>82098</v>
      </c>
      <c r="D13" s="172">
        <f t="shared" si="3"/>
        <v>82123</v>
      </c>
      <c r="E13" s="172">
        <f t="shared" si="3"/>
        <v>82098</v>
      </c>
      <c r="F13" s="172">
        <f t="shared" si="3"/>
        <v>87975.11</v>
      </c>
      <c r="G13" s="172">
        <f t="shared" si="3"/>
        <v>87975.11</v>
      </c>
      <c r="I13" s="256" t="s">
        <v>673</v>
      </c>
      <c r="J13" s="257"/>
      <c r="K13" s="257"/>
      <c r="L13" s="1170">
        <v>266.77999999999997</v>
      </c>
      <c r="M13" s="1170">
        <v>161.38999999999999</v>
      </c>
      <c r="N13" s="1171">
        <f>+L13-M13</f>
        <v>105.38999999999999</v>
      </c>
    </row>
    <row r="14" spans="1:14" ht="15" customHeight="1" x14ac:dyDescent="0.35">
      <c r="A14" s="173"/>
      <c r="B14" s="173"/>
      <c r="C14" s="173"/>
      <c r="I14" s="256" t="s">
        <v>880</v>
      </c>
      <c r="J14" s="257"/>
      <c r="K14" s="257"/>
      <c r="L14" s="1237"/>
      <c r="M14" s="1237"/>
      <c r="N14" s="1602">
        <v>60</v>
      </c>
    </row>
    <row r="15" spans="1:14" ht="15" customHeight="1" x14ac:dyDescent="0.35">
      <c r="A15" s="174" t="s">
        <v>584</v>
      </c>
      <c r="B15" s="551">
        <v>0.1</v>
      </c>
      <c r="C15" s="534">
        <v>0.1</v>
      </c>
      <c r="D15" s="1020">
        <f>+$B15</f>
        <v>0.1</v>
      </c>
      <c r="E15" s="1020">
        <f>+$B15</f>
        <v>0.1</v>
      </c>
      <c r="F15" s="1020">
        <f>+$B15</f>
        <v>0.1</v>
      </c>
      <c r="G15" s="1020">
        <f>+$B15</f>
        <v>0.1</v>
      </c>
      <c r="I15" s="256" t="s">
        <v>878</v>
      </c>
      <c r="J15" s="257"/>
      <c r="K15" s="257"/>
      <c r="L15" s="1170">
        <v>38.76</v>
      </c>
      <c r="M15" s="1170">
        <v>25.84</v>
      </c>
      <c r="N15" s="1171">
        <f>+L15-M15</f>
        <v>12.919999999999998</v>
      </c>
    </row>
    <row r="16" spans="1:14" ht="15" customHeight="1" x14ac:dyDescent="0.35">
      <c r="A16" s="168" t="s">
        <v>151</v>
      </c>
      <c r="B16" s="119">
        <f t="shared" ref="B16:G16" si="4">ROUND(+B13*B15,0)</f>
        <v>7837</v>
      </c>
      <c r="C16" s="518">
        <f t="shared" si="4"/>
        <v>8210</v>
      </c>
      <c r="D16" s="172">
        <f t="shared" si="4"/>
        <v>8212</v>
      </c>
      <c r="E16" s="172">
        <f t="shared" si="4"/>
        <v>8210</v>
      </c>
      <c r="F16" s="172">
        <f t="shared" si="4"/>
        <v>8798</v>
      </c>
      <c r="G16" s="172">
        <f t="shared" si="4"/>
        <v>8798</v>
      </c>
      <c r="I16" s="256" t="s">
        <v>879</v>
      </c>
      <c r="J16" s="257"/>
      <c r="K16" s="257"/>
      <c r="L16" s="1170">
        <v>10.75</v>
      </c>
      <c r="M16" s="1170">
        <v>7.32</v>
      </c>
      <c r="N16" s="1171">
        <f>+L16-M16</f>
        <v>3.4299999999999997</v>
      </c>
    </row>
    <row r="17" spans="1:16" ht="15" customHeight="1" x14ac:dyDescent="0.35">
      <c r="A17" s="173"/>
      <c r="B17" s="173"/>
      <c r="C17" s="173"/>
      <c r="I17" s="256" t="s">
        <v>672</v>
      </c>
      <c r="J17" s="257"/>
      <c r="K17" s="257"/>
      <c r="L17" s="257"/>
      <c r="M17" s="257"/>
      <c r="N17" s="1171">
        <f>SUM(N13:N16)*26</f>
        <v>4725.24</v>
      </c>
    </row>
    <row r="18" spans="1:16" ht="15" customHeight="1" thickBot="1" x14ac:dyDescent="0.4">
      <c r="A18" s="174" t="s">
        <v>153</v>
      </c>
      <c r="B18" s="111"/>
      <c r="C18" s="506"/>
      <c r="D18" s="140"/>
      <c r="E18" s="140"/>
      <c r="F18" s="140"/>
      <c r="G18" s="140"/>
      <c r="I18" s="1161" t="s">
        <v>670</v>
      </c>
      <c r="J18" s="746"/>
      <c r="K18" s="746"/>
      <c r="L18" s="746"/>
      <c r="M18" s="746"/>
      <c r="N18" s="1603">
        <f>ROUND(+N17/(1-0.15),2)</f>
        <v>5559.11</v>
      </c>
      <c r="P18" s="1155"/>
    </row>
    <row r="19" spans="1:16" ht="15" customHeight="1" x14ac:dyDescent="0.35">
      <c r="A19" s="153" t="s">
        <v>582</v>
      </c>
      <c r="B19" s="362">
        <v>8.9999999999999993E-3</v>
      </c>
      <c r="C19" s="540">
        <v>8.9999999999999993E-3</v>
      </c>
      <c r="D19" s="359">
        <f>+$B19</f>
        <v>8.9999999999999993E-3</v>
      </c>
      <c r="E19" s="359">
        <f>+$B19</f>
        <v>8.9999999999999993E-3</v>
      </c>
      <c r="F19" s="359">
        <f>+$B19</f>
        <v>8.9999999999999993E-3</v>
      </c>
      <c r="G19" s="359">
        <f>+$B19</f>
        <v>8.9999999999999993E-3</v>
      </c>
      <c r="I19" s="1165">
        <v>2024</v>
      </c>
      <c r="J19" s="290"/>
      <c r="K19" s="290"/>
      <c r="L19" s="1166"/>
      <c r="M19" s="1166"/>
      <c r="N19" s="1167"/>
      <c r="P19" s="1155"/>
    </row>
    <row r="20" spans="1:16" ht="15" customHeight="1" x14ac:dyDescent="0.35">
      <c r="A20" s="153" t="s">
        <v>581</v>
      </c>
      <c r="B20" s="108">
        <f t="shared" ref="B20:G20" si="5">ROUND(B$13*B19,0)</f>
        <v>705</v>
      </c>
      <c r="C20" s="1024">
        <f t="shared" si="5"/>
        <v>739</v>
      </c>
      <c r="D20" s="1025">
        <f t="shared" si="5"/>
        <v>739</v>
      </c>
      <c r="E20" s="1025">
        <f t="shared" si="5"/>
        <v>739</v>
      </c>
      <c r="F20" s="1025">
        <f t="shared" si="5"/>
        <v>792</v>
      </c>
      <c r="G20" s="1025">
        <f t="shared" si="5"/>
        <v>792</v>
      </c>
      <c r="I20" s="256" t="s">
        <v>665</v>
      </c>
      <c r="J20" s="257"/>
      <c r="K20" s="257"/>
      <c r="L20" s="1168"/>
      <c r="M20" s="1284"/>
      <c r="N20" s="1169"/>
      <c r="P20" s="1155"/>
    </row>
    <row r="21" spans="1:16" ht="15" customHeight="1" x14ac:dyDescent="0.35">
      <c r="A21" s="153" t="s">
        <v>583</v>
      </c>
      <c r="B21" s="362">
        <v>8.0400000000000003E-3</v>
      </c>
      <c r="C21" s="540">
        <v>8.0400000000000003E-3</v>
      </c>
      <c r="D21" s="359">
        <f>+$B21</f>
        <v>8.0400000000000003E-3</v>
      </c>
      <c r="E21" s="359">
        <f>+$B21</f>
        <v>8.0400000000000003E-3</v>
      </c>
      <c r="F21" s="359">
        <f>+$B21</f>
        <v>8.0400000000000003E-3</v>
      </c>
      <c r="G21" s="359">
        <f>+$B21</f>
        <v>8.0400000000000003E-3</v>
      </c>
      <c r="I21" s="256" t="s">
        <v>667</v>
      </c>
      <c r="J21" s="257"/>
      <c r="K21" s="257"/>
      <c r="L21" s="1170">
        <v>243.62</v>
      </c>
      <c r="M21" s="1170">
        <v>147.04</v>
      </c>
      <c r="N21" s="1171">
        <f>+L21-M21</f>
        <v>96.580000000000013</v>
      </c>
    </row>
    <row r="22" spans="1:16" ht="15" customHeight="1" x14ac:dyDescent="0.35">
      <c r="A22" s="153" t="s">
        <v>581</v>
      </c>
      <c r="B22" s="108">
        <f t="shared" ref="B22:G22" si="6">ROUND(B$13*B21,0)</f>
        <v>630</v>
      </c>
      <c r="C22" s="1024">
        <f t="shared" si="6"/>
        <v>660</v>
      </c>
      <c r="D22" s="1025">
        <f t="shared" si="6"/>
        <v>660</v>
      </c>
      <c r="E22" s="1025">
        <f t="shared" si="6"/>
        <v>660</v>
      </c>
      <c r="F22" s="1025">
        <f t="shared" si="6"/>
        <v>707</v>
      </c>
      <c r="G22" s="1025">
        <f t="shared" si="6"/>
        <v>707</v>
      </c>
      <c r="I22" s="256" t="s">
        <v>672</v>
      </c>
      <c r="J22" s="257"/>
      <c r="K22" s="257"/>
      <c r="L22" s="257"/>
      <c r="M22" s="257"/>
      <c r="N22" s="1171">
        <f>+N21*26</f>
        <v>2511.0800000000004</v>
      </c>
    </row>
    <row r="23" spans="1:16" ht="15" customHeight="1" thickBot="1" x14ac:dyDescent="0.4">
      <c r="A23" s="129" t="s">
        <v>155</v>
      </c>
      <c r="B23" s="119">
        <f t="shared" ref="B23:G23" si="7">+B20+B22</f>
        <v>1335</v>
      </c>
      <c r="C23" s="518">
        <f t="shared" si="7"/>
        <v>1399</v>
      </c>
      <c r="D23" s="172">
        <f t="shared" si="7"/>
        <v>1399</v>
      </c>
      <c r="E23" s="172">
        <f t="shared" si="7"/>
        <v>1399</v>
      </c>
      <c r="F23" s="172">
        <f t="shared" si="7"/>
        <v>1499</v>
      </c>
      <c r="G23" s="172">
        <f t="shared" si="7"/>
        <v>1499</v>
      </c>
      <c r="I23" s="1161" t="s">
        <v>670</v>
      </c>
      <c r="J23" s="746"/>
      <c r="K23" s="746"/>
      <c r="L23" s="746"/>
      <c r="M23" s="746"/>
      <c r="N23" s="1173">
        <f>ROUND(+N22/(1-0.15),0)</f>
        <v>2954</v>
      </c>
    </row>
    <row r="24" spans="1:16" ht="15" customHeight="1" x14ac:dyDescent="0.35">
      <c r="I24" s="1172" t="s">
        <v>664</v>
      </c>
      <c r="J24" s="290"/>
      <c r="K24" s="290"/>
      <c r="L24" s="290"/>
      <c r="M24" s="290"/>
      <c r="N24" s="896"/>
    </row>
    <row r="25" spans="1:16" ht="15" customHeight="1" x14ac:dyDescent="0.35">
      <c r="A25" s="120" t="s">
        <v>99</v>
      </c>
      <c r="B25" s="191"/>
      <c r="C25" s="543"/>
      <c r="D25" s="351"/>
      <c r="E25" s="351"/>
      <c r="F25" s="351"/>
      <c r="G25" s="351"/>
      <c r="I25" s="256" t="s">
        <v>673</v>
      </c>
      <c r="J25" s="257"/>
      <c r="K25" s="257"/>
      <c r="L25" s="1170">
        <v>245.96</v>
      </c>
      <c r="M25" s="1170">
        <v>148.63999999999999</v>
      </c>
      <c r="N25" s="1171">
        <f>+L25-M25</f>
        <v>97.320000000000022</v>
      </c>
    </row>
    <row r="26" spans="1:16" ht="15" customHeight="1" x14ac:dyDescent="0.35">
      <c r="A26" s="123" t="s">
        <v>160</v>
      </c>
      <c r="B26" s="192">
        <v>1500</v>
      </c>
      <c r="C26" s="542">
        <v>1500</v>
      </c>
      <c r="D26" s="352">
        <f>+B26</f>
        <v>1500</v>
      </c>
      <c r="E26" s="352">
        <f>+C26</f>
        <v>1500</v>
      </c>
      <c r="F26" s="352">
        <f>+D26</f>
        <v>1500</v>
      </c>
      <c r="G26" s="352">
        <f>+E26</f>
        <v>1500</v>
      </c>
      <c r="I26" s="256" t="s">
        <v>672</v>
      </c>
      <c r="J26" s="257"/>
      <c r="K26" s="257"/>
      <c r="L26" s="257"/>
      <c r="M26" s="257"/>
      <c r="N26" s="1171">
        <f>+N25*26</f>
        <v>2530.3200000000006</v>
      </c>
    </row>
    <row r="27" spans="1:16" ht="15" customHeight="1" thickBot="1" x14ac:dyDescent="0.4">
      <c r="A27" s="123" t="s">
        <v>591</v>
      </c>
      <c r="B27" s="192">
        <v>1300</v>
      </c>
      <c r="C27" s="542">
        <v>1300</v>
      </c>
      <c r="D27" s="352">
        <f t="shared" ref="D27:E28" si="8">+B27</f>
        <v>1300</v>
      </c>
      <c r="E27" s="352">
        <f t="shared" si="8"/>
        <v>1300</v>
      </c>
      <c r="F27" s="352">
        <f t="shared" ref="F27:F28" si="9">+D27</f>
        <v>1300</v>
      </c>
      <c r="G27" s="352">
        <f t="shared" ref="G27:G28" si="10">+E27</f>
        <v>1300</v>
      </c>
      <c r="I27" s="1161" t="s">
        <v>670</v>
      </c>
      <c r="J27" s="746"/>
      <c r="K27" s="746"/>
      <c r="L27" s="746"/>
      <c r="M27" s="746"/>
      <c r="N27" s="1173">
        <f>ROUND(+N26/(1-0.15),0)</f>
        <v>2977</v>
      </c>
    </row>
    <row r="28" spans="1:16" ht="15" customHeight="1" x14ac:dyDescent="0.35">
      <c r="A28" s="123" t="s">
        <v>99</v>
      </c>
      <c r="B28" s="192">
        <v>600</v>
      </c>
      <c r="C28" s="542">
        <v>600</v>
      </c>
      <c r="D28" s="352">
        <f t="shared" si="8"/>
        <v>600</v>
      </c>
      <c r="E28" s="352">
        <f t="shared" si="8"/>
        <v>600</v>
      </c>
      <c r="F28" s="352">
        <f t="shared" si="9"/>
        <v>600</v>
      </c>
      <c r="G28" s="352">
        <f t="shared" si="10"/>
        <v>600</v>
      </c>
    </row>
    <row r="29" spans="1:16" ht="15" customHeight="1" thickBot="1" x14ac:dyDescent="0.4">
      <c r="A29" s="134" t="s">
        <v>162</v>
      </c>
      <c r="B29" s="193">
        <f t="shared" ref="B29:G29" si="11">+SUM(B26:B28)</f>
        <v>3400</v>
      </c>
      <c r="C29" s="544">
        <f t="shared" si="11"/>
        <v>3400</v>
      </c>
      <c r="D29" s="353">
        <f t="shared" si="11"/>
        <v>3400</v>
      </c>
      <c r="E29" s="353">
        <f t="shared" si="11"/>
        <v>3400</v>
      </c>
      <c r="F29" s="353">
        <f t="shared" si="11"/>
        <v>3400</v>
      </c>
      <c r="G29" s="353">
        <f t="shared" si="11"/>
        <v>3400</v>
      </c>
    </row>
    <row r="30" spans="1:16" ht="15" customHeight="1" thickBot="1" x14ac:dyDescent="0.4">
      <c r="I30" s="1250" t="s">
        <v>125</v>
      </c>
      <c r="J30" s="1251"/>
      <c r="K30" s="1251"/>
      <c r="L30" s="1251"/>
      <c r="M30" s="1251"/>
      <c r="N30" s="1252"/>
    </row>
    <row r="31" spans="1:16" ht="15" customHeight="1" thickTop="1" thickBot="1" x14ac:dyDescent="0.4">
      <c r="A31" s="427" t="s">
        <v>580</v>
      </c>
      <c r="B31" s="730">
        <f t="shared" ref="B31:G31" si="12">+B13+B16+B23+B29</f>
        <v>90938</v>
      </c>
      <c r="C31" s="723">
        <f t="shared" si="12"/>
        <v>95107</v>
      </c>
      <c r="D31" s="1021">
        <f t="shared" si="12"/>
        <v>95134</v>
      </c>
      <c r="E31" s="1021">
        <f t="shared" si="12"/>
        <v>95107</v>
      </c>
      <c r="F31" s="1021">
        <f t="shared" si="12"/>
        <v>101672.11</v>
      </c>
      <c r="G31" s="1021">
        <f t="shared" si="12"/>
        <v>101672.11</v>
      </c>
      <c r="I31" s="1164">
        <v>2025</v>
      </c>
      <c r="J31" s="290"/>
      <c r="K31" s="290"/>
      <c r="L31" s="290" t="s">
        <v>671</v>
      </c>
      <c r="M31" s="290"/>
      <c r="N31" s="1160">
        <f>2403*12</f>
        <v>28836</v>
      </c>
    </row>
    <row r="32" spans="1:16" ht="15" customHeight="1" thickTop="1" x14ac:dyDescent="0.35">
      <c r="A32" s="196" t="s">
        <v>587</v>
      </c>
      <c r="B32" s="547"/>
      <c r="C32" s="547"/>
      <c r="D32" s="1022">
        <f>(+D31-B31)/B31</f>
        <v>4.6141327057995556E-2</v>
      </c>
      <c r="E32" s="1022">
        <f>(+E31-B31)/B31</f>
        <v>4.5844421473971275E-2</v>
      </c>
      <c r="F32" s="1022">
        <f>(+F31-D31)/D31</f>
        <v>6.8725271721992137E-2</v>
      </c>
      <c r="G32" s="1022">
        <f>(+G31-D31)/D31</f>
        <v>6.8725271721992137E-2</v>
      </c>
      <c r="I32" s="1157" t="s">
        <v>658</v>
      </c>
      <c r="J32" s="257"/>
      <c r="K32" s="1174">
        <f>ROUNDUP(SUM(K33:K37)+SUM(N33:N37),-2)</f>
        <v>24000</v>
      </c>
      <c r="L32" s="257" t="s">
        <v>688</v>
      </c>
      <c r="M32" s="257"/>
      <c r="N32" s="1202"/>
    </row>
    <row r="33" spans="1:14" ht="15" customHeight="1" x14ac:dyDescent="0.35">
      <c r="A33" s="257"/>
      <c r="I33" s="256" t="s">
        <v>659</v>
      </c>
      <c r="J33" s="257"/>
      <c r="K33" s="1159">
        <v>8300</v>
      </c>
      <c r="L33" s="257" t="s">
        <v>60</v>
      </c>
      <c r="M33" s="257"/>
      <c r="N33" s="1160">
        <v>1819.33</v>
      </c>
    </row>
    <row r="34" spans="1:14" s="173" customFormat="1" x14ac:dyDescent="0.35">
      <c r="A34" s="154" t="s">
        <v>589</v>
      </c>
      <c r="I34" s="256" t="s">
        <v>660</v>
      </c>
      <c r="J34" s="257"/>
      <c r="K34" s="1159">
        <v>5300</v>
      </c>
      <c r="L34" s="257" t="s">
        <v>663</v>
      </c>
      <c r="M34" s="257"/>
      <c r="N34" s="1160">
        <v>492.68</v>
      </c>
    </row>
    <row r="35" spans="1:14" s="173" customFormat="1" x14ac:dyDescent="0.35">
      <c r="A35" s="154" t="s">
        <v>590</v>
      </c>
      <c r="I35" s="256" t="s">
        <v>58</v>
      </c>
      <c r="J35" s="257"/>
      <c r="K35" s="1159">
        <f>291*12</f>
        <v>3492</v>
      </c>
      <c r="L35" s="1288" t="s">
        <v>815</v>
      </c>
      <c r="M35" s="1288"/>
      <c r="N35" s="1160">
        <v>1167</v>
      </c>
    </row>
    <row r="36" spans="1:14" x14ac:dyDescent="0.35">
      <c r="A36" s="257"/>
      <c r="B36" s="194"/>
      <c r="C36" s="194"/>
      <c r="D36" s="1023"/>
      <c r="E36" s="1023"/>
      <c r="F36" s="1023"/>
      <c r="G36" s="1023"/>
      <c r="I36" s="256" t="s">
        <v>776</v>
      </c>
      <c r="J36" s="257"/>
      <c r="K36" s="1159">
        <v>1015.87</v>
      </c>
      <c r="L36" s="257" t="s">
        <v>778</v>
      </c>
      <c r="M36" s="257"/>
      <c r="N36" s="1160">
        <v>515</v>
      </c>
    </row>
    <row r="37" spans="1:14" ht="18.5" customHeight="1" thickBot="1" x14ac:dyDescent="0.4">
      <c r="A37" s="763" t="s">
        <v>424</v>
      </c>
      <c r="I37" s="1161" t="s">
        <v>777</v>
      </c>
      <c r="J37" s="746"/>
      <c r="K37" s="1261">
        <v>1079.8800000000001</v>
      </c>
      <c r="L37" s="746" t="s">
        <v>779</v>
      </c>
      <c r="M37" s="746"/>
      <c r="N37" s="1262">
        <v>800</v>
      </c>
    </row>
    <row r="38" spans="1:14" ht="15" thickBot="1" x14ac:dyDescent="0.4">
      <c r="A38" s="746"/>
      <c r="B38" s="746"/>
      <c r="I38" s="1260">
        <v>2024</v>
      </c>
      <c r="J38" s="257"/>
      <c r="K38" s="257"/>
      <c r="L38" s="257" t="s">
        <v>671</v>
      </c>
      <c r="M38" s="257"/>
      <c r="N38" s="1160">
        <f>2514*12</f>
        <v>30168</v>
      </c>
    </row>
    <row r="39" spans="1:14" x14ac:dyDescent="0.35">
      <c r="A39" s="744" t="s">
        <v>566</v>
      </c>
      <c r="B39" s="747" t="s">
        <v>425</v>
      </c>
      <c r="I39" s="1157" t="s">
        <v>658</v>
      </c>
      <c r="J39" s="257"/>
      <c r="K39" s="1174">
        <f>ROUNDUP(+K40+K41+K42+N40+N41+N42,-2)</f>
        <v>21200</v>
      </c>
      <c r="L39" s="257" t="s">
        <v>688</v>
      </c>
      <c r="M39" s="257"/>
      <c r="N39" s="1158"/>
    </row>
    <row r="40" spans="1:14" x14ac:dyDescent="0.35">
      <c r="I40" s="256" t="s">
        <v>659</v>
      </c>
      <c r="J40" s="257"/>
      <c r="K40" s="1159">
        <v>8398.58</v>
      </c>
      <c r="L40" s="257" t="s">
        <v>662</v>
      </c>
      <c r="M40" s="257"/>
      <c r="N40" s="1160">
        <f>400*6</f>
        <v>2400</v>
      </c>
    </row>
    <row r="41" spans="1:14" ht="15" thickBot="1" x14ac:dyDescent="0.4">
      <c r="A41" s="746"/>
      <c r="B41" s="746"/>
      <c r="I41" s="256" t="s">
        <v>660</v>
      </c>
      <c r="J41" s="257"/>
      <c r="K41" s="1159">
        <v>5274.66</v>
      </c>
      <c r="L41" s="257" t="s">
        <v>663</v>
      </c>
      <c r="M41" s="257"/>
      <c r="N41" s="1160">
        <v>400</v>
      </c>
    </row>
    <row r="42" spans="1:14" x14ac:dyDescent="0.35">
      <c r="A42" s="744" t="s">
        <v>594</v>
      </c>
      <c r="B42" s="747" t="s">
        <v>425</v>
      </c>
      <c r="I42" s="256" t="s">
        <v>661</v>
      </c>
      <c r="J42" s="257"/>
      <c r="K42" s="1159">
        <f>300*12</f>
        <v>3600</v>
      </c>
      <c r="L42" s="1288" t="s">
        <v>689</v>
      </c>
      <c r="M42" s="1248"/>
      <c r="N42" s="1160">
        <f>86.33*12</f>
        <v>1035.96</v>
      </c>
    </row>
    <row r="43" spans="1:14" ht="14.5" customHeight="1" thickBot="1" x14ac:dyDescent="0.4">
      <c r="I43" s="1161"/>
      <c r="J43" s="746"/>
      <c r="K43" s="746"/>
      <c r="L43" s="1249"/>
      <c r="M43" s="1249"/>
      <c r="N43" s="1162"/>
    </row>
    <row r="44" spans="1:14" ht="15" thickBot="1" x14ac:dyDescent="0.4">
      <c r="A44" s="746"/>
      <c r="B44" s="746"/>
      <c r="I44" s="1156" t="s">
        <v>664</v>
      </c>
      <c r="J44" s="1163"/>
      <c r="K44" s="1163"/>
      <c r="L44" s="290"/>
      <c r="M44" s="290"/>
      <c r="N44" s="896"/>
    </row>
    <row r="45" spans="1:14" ht="29" x14ac:dyDescent="0.35">
      <c r="A45" s="761" t="s">
        <v>595</v>
      </c>
      <c r="B45" s="747" t="s">
        <v>425</v>
      </c>
      <c r="I45" s="1157" t="s">
        <v>658</v>
      </c>
      <c r="J45" s="905"/>
      <c r="K45" s="1174">
        <f>ROUNDUP(+K46+K47+K48+N46+N47+N48,0)</f>
        <v>23255</v>
      </c>
      <c r="L45" s="257"/>
      <c r="M45" s="257"/>
      <c r="N45" s="1158"/>
    </row>
    <row r="46" spans="1:14" x14ac:dyDescent="0.35">
      <c r="I46" s="256" t="s">
        <v>659</v>
      </c>
      <c r="J46" s="257"/>
      <c r="K46" s="1159">
        <f>697.87*12</f>
        <v>8374.44</v>
      </c>
      <c r="L46" s="257" t="s">
        <v>662</v>
      </c>
      <c r="M46" s="257"/>
      <c r="N46" s="1160">
        <f>200*12</f>
        <v>2400</v>
      </c>
    </row>
    <row r="47" spans="1:14" x14ac:dyDescent="0.35">
      <c r="I47" s="256" t="s">
        <v>660</v>
      </c>
      <c r="J47" s="257"/>
      <c r="K47" s="1159">
        <f>(703.66*12)-2607.13</f>
        <v>5836.79</v>
      </c>
      <c r="L47" s="257" t="s">
        <v>663</v>
      </c>
      <c r="M47" s="257"/>
      <c r="N47" s="1160">
        <f>(35+1.38)*12</f>
        <v>436.56000000000006</v>
      </c>
    </row>
    <row r="48" spans="1:14" ht="72.5" x14ac:dyDescent="0.35">
      <c r="I48" s="256" t="s">
        <v>661</v>
      </c>
      <c r="J48" s="257"/>
      <c r="K48" s="1159">
        <f>300*12</f>
        <v>3600</v>
      </c>
      <c r="L48" s="1248" t="s">
        <v>689</v>
      </c>
      <c r="M48" s="1248"/>
      <c r="N48" s="1160">
        <f>8443.92-5836.79</f>
        <v>2607.13</v>
      </c>
    </row>
    <row r="49" spans="9:14" ht="15" thickBot="1" x14ac:dyDescent="0.4">
      <c r="I49" s="1161"/>
      <c r="J49" s="746"/>
      <c r="K49" s="746"/>
      <c r="L49" s="1249"/>
      <c r="M49" s="1249"/>
      <c r="N49" s="1162"/>
    </row>
  </sheetData>
  <mergeCells count="3">
    <mergeCell ref="A1:N1"/>
    <mergeCell ref="M11:M12"/>
    <mergeCell ref="I10:N10"/>
  </mergeCells>
  <pageMargins left="0" right="0" top="0.5" bottom="0" header="0.3" footer="0.3"/>
  <pageSetup scale="71" orientation="landscape" horizontalDpi="4294967293" verticalDpi="0" r:id="rId1"/>
  <headerFooter>
    <oddFooter>&amp;R&amp;D</oddFooter>
  </headerFooter>
  <rowBreaks count="1" manualBreakCount="1">
    <brk id="17"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heetViews>
  <sheetFormatPr defaultRowHeight="15.5" x14ac:dyDescent="0.35"/>
  <cols>
    <col min="1" max="16384" width="8.7265625" style="1175"/>
  </cols>
  <sheetData>
    <row r="3" spans="1:10" ht="20" x14ac:dyDescent="0.4">
      <c r="A3" s="1442" t="s">
        <v>80</v>
      </c>
      <c r="B3" s="1442"/>
      <c r="C3" s="1442"/>
      <c r="D3" s="1442"/>
      <c r="E3" s="1442"/>
      <c r="F3" s="1442"/>
      <c r="G3" s="1442"/>
      <c r="H3" s="1442"/>
      <c r="I3" s="1442"/>
      <c r="J3" s="1442"/>
    </row>
    <row r="4" spans="1:10" x14ac:dyDescent="0.35">
      <c r="A4" s="1443" t="s">
        <v>803</v>
      </c>
      <c r="B4" s="1443"/>
      <c r="C4" s="1443"/>
      <c r="D4" s="1443"/>
      <c r="E4" s="1443"/>
      <c r="F4" s="1443"/>
      <c r="G4" s="1443"/>
      <c r="H4" s="1443"/>
      <c r="I4" s="1443"/>
      <c r="J4" s="1443"/>
    </row>
    <row r="7" spans="1:10" x14ac:dyDescent="0.35">
      <c r="A7" s="1175" t="s">
        <v>685</v>
      </c>
    </row>
    <row r="8" spans="1:10" x14ac:dyDescent="0.35">
      <c r="A8" s="1175" t="s">
        <v>675</v>
      </c>
    </row>
    <row r="9" spans="1:10" x14ac:dyDescent="0.35">
      <c r="A9" s="1175" t="s">
        <v>686</v>
      </c>
    </row>
    <row r="10" spans="1:10" x14ac:dyDescent="0.35">
      <c r="A10" s="1175" t="s">
        <v>679</v>
      </c>
    </row>
    <row r="11" spans="1:10" x14ac:dyDescent="0.35">
      <c r="A11" s="1175" t="s">
        <v>690</v>
      </c>
    </row>
    <row r="12" spans="1:10" x14ac:dyDescent="0.35">
      <c r="B12" s="1175" t="s">
        <v>676</v>
      </c>
    </row>
    <row r="13" spans="1:10" x14ac:dyDescent="0.35">
      <c r="B13" s="1175" t="s">
        <v>677</v>
      </c>
    </row>
    <row r="14" spans="1:10" x14ac:dyDescent="0.35">
      <c r="B14" s="1175" t="s">
        <v>678</v>
      </c>
    </row>
    <row r="16" spans="1:10" x14ac:dyDescent="0.35">
      <c r="A16" s="1175" t="s">
        <v>683</v>
      </c>
    </row>
    <row r="17" spans="1:2" x14ac:dyDescent="0.35">
      <c r="A17" s="1175" t="s">
        <v>680</v>
      </c>
    </row>
    <row r="18" spans="1:2" x14ac:dyDescent="0.35">
      <c r="A18" s="1175" t="s">
        <v>804</v>
      </c>
    </row>
    <row r="19" spans="1:2" x14ac:dyDescent="0.35">
      <c r="A19" s="1175" t="s">
        <v>681</v>
      </c>
    </row>
    <row r="20" spans="1:2" x14ac:dyDescent="0.35">
      <c r="A20" s="1175" t="s">
        <v>682</v>
      </c>
    </row>
    <row r="21" spans="1:2" x14ac:dyDescent="0.35">
      <c r="B21" s="1181" t="s">
        <v>805</v>
      </c>
    </row>
    <row r="22" spans="1:2" x14ac:dyDescent="0.35">
      <c r="B22" s="1175" t="s">
        <v>806</v>
      </c>
    </row>
    <row r="24" spans="1:2" x14ac:dyDescent="0.35">
      <c r="B24" s="1175" t="s">
        <v>684</v>
      </c>
    </row>
    <row r="25" spans="1:2" x14ac:dyDescent="0.35">
      <c r="B25" s="1175" t="s">
        <v>687</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6"/>
  <sheetViews>
    <sheetView showGridLines="0" workbookViewId="0">
      <selection activeCell="G5" sqref="G5"/>
    </sheetView>
  </sheetViews>
  <sheetFormatPr defaultRowHeight="14.5" x14ac:dyDescent="0.35"/>
  <cols>
    <col min="1" max="1" width="49.36328125" style="109" customWidth="1"/>
    <col min="2" max="2" width="13.90625" style="109" customWidth="1"/>
    <col min="3" max="3" width="14" style="109" hidden="1" customWidth="1"/>
    <col min="4" max="4" width="14" style="173" customWidth="1"/>
    <col min="5" max="5" width="14" style="173" hidden="1" customWidth="1"/>
    <col min="6" max="6" width="4" style="109" customWidth="1"/>
    <col min="7"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4" ht="21" x14ac:dyDescent="0.35">
      <c r="A1" s="1436" t="s">
        <v>726</v>
      </c>
      <c r="B1" s="1436"/>
      <c r="C1" s="1436"/>
      <c r="D1" s="1436"/>
      <c r="E1" s="1436"/>
      <c r="F1" s="1436"/>
      <c r="G1" s="1436"/>
      <c r="H1" s="1436"/>
      <c r="I1" s="1436"/>
      <c r="J1" s="1436"/>
      <c r="K1" s="1436"/>
      <c r="L1" s="1436"/>
    </row>
    <row r="2" spans="1:14" x14ac:dyDescent="0.35">
      <c r="A2" s="109" t="s">
        <v>727</v>
      </c>
      <c r="B2" s="741"/>
      <c r="C2" s="1199"/>
      <c r="D2" s="1016"/>
      <c r="E2" s="1016"/>
    </row>
    <row r="3" spans="1:14" ht="43.5" customHeight="1" x14ac:dyDescent="0.35">
      <c r="A3" s="761"/>
      <c r="B3" s="1011" t="s">
        <v>729</v>
      </c>
      <c r="C3" s="734" t="s">
        <v>731</v>
      </c>
      <c r="D3" s="986" t="s">
        <v>713</v>
      </c>
      <c r="E3" s="986" t="s">
        <v>714</v>
      </c>
      <c r="G3" s="1178"/>
    </row>
    <row r="4" spans="1:14" ht="15" customHeight="1" x14ac:dyDescent="0.35">
      <c r="A4" s="761" t="s">
        <v>588</v>
      </c>
      <c r="B4" s="1012">
        <v>10</v>
      </c>
      <c r="C4" s="1014">
        <v>10</v>
      </c>
      <c r="D4" s="1017">
        <v>10</v>
      </c>
      <c r="E4" s="1017">
        <v>10</v>
      </c>
    </row>
    <row r="5" spans="1:14" ht="26" customHeight="1" x14ac:dyDescent="0.35">
      <c r="A5" s="761"/>
      <c r="B5" s="786"/>
      <c r="C5" s="1015" t="s">
        <v>592</v>
      </c>
      <c r="D5" s="1018"/>
      <c r="E5" s="1018"/>
    </row>
    <row r="6" spans="1:14" ht="15" customHeight="1" x14ac:dyDescent="0.35">
      <c r="A6" s="1013" t="s">
        <v>36</v>
      </c>
      <c r="B6" s="112">
        <f t="shared" ref="B6:E6" si="0">+B8-B7</f>
        <v>53310</v>
      </c>
      <c r="C6" s="507">
        <f t="shared" si="0"/>
        <v>52110</v>
      </c>
      <c r="D6" s="143">
        <f t="shared" si="0"/>
        <v>37910</v>
      </c>
      <c r="E6" s="143">
        <f t="shared" si="0"/>
        <v>73310</v>
      </c>
    </row>
    <row r="7" spans="1:14" ht="15" customHeight="1" thickBot="1" x14ac:dyDescent="0.4">
      <c r="A7" s="141" t="s">
        <v>125</v>
      </c>
      <c r="B7" s="114">
        <v>20000</v>
      </c>
      <c r="C7" s="509">
        <v>21200</v>
      </c>
      <c r="D7" s="1287">
        <f>I28</f>
        <v>35400</v>
      </c>
      <c r="E7" s="1176">
        <f>ROUND(+I34,0)</f>
        <v>0</v>
      </c>
      <c r="G7" s="1180"/>
    </row>
    <row r="8" spans="1:14" ht="15" customHeight="1" x14ac:dyDescent="0.35">
      <c r="A8" s="141" t="s">
        <v>586</v>
      </c>
      <c r="B8" s="347">
        <v>73310</v>
      </c>
      <c r="C8" s="546">
        <v>73310</v>
      </c>
      <c r="D8" s="372">
        <f>+C8</f>
        <v>73310</v>
      </c>
      <c r="E8" s="877">
        <f>+D8</f>
        <v>73310</v>
      </c>
      <c r="F8" s="1177" t="s">
        <v>593</v>
      </c>
      <c r="G8" s="379"/>
    </row>
    <row r="9" spans="1:14" ht="15" customHeight="1" thickBot="1" x14ac:dyDescent="0.4">
      <c r="A9" s="1198" t="s">
        <v>585</v>
      </c>
      <c r="B9" s="555">
        <v>3000</v>
      </c>
      <c r="C9" s="520">
        <v>3000</v>
      </c>
      <c r="D9" s="355">
        <f>+B9</f>
        <v>3000</v>
      </c>
      <c r="E9" s="1203">
        <f>+L20</f>
        <v>2954</v>
      </c>
      <c r="F9" s="1179" t="str">
        <f>"      $"&amp;(74671-73310)&amp;" additional from 10 year guidelines"</f>
        <v xml:space="preserve">      $1361 additional from 10 year guidelines</v>
      </c>
    </row>
    <row r="10" spans="1:14" ht="15" customHeight="1" thickBot="1" x14ac:dyDescent="0.4">
      <c r="A10" s="160" t="s">
        <v>142</v>
      </c>
      <c r="B10" s="117">
        <f t="shared" ref="B10:E10" si="1">+B8+B9</f>
        <v>76310</v>
      </c>
      <c r="C10" s="515">
        <f t="shared" si="1"/>
        <v>76310</v>
      </c>
      <c r="D10" s="350">
        <f t="shared" si="1"/>
        <v>76310</v>
      </c>
      <c r="E10" s="350">
        <f t="shared" si="1"/>
        <v>76264</v>
      </c>
      <c r="G10" s="1439" t="s">
        <v>674</v>
      </c>
      <c r="H10" s="1440"/>
      <c r="I10" s="1440"/>
      <c r="J10" s="1440"/>
      <c r="K10" s="1440"/>
      <c r="L10" s="1441"/>
    </row>
    <row r="11" spans="1:14" ht="15" customHeight="1" x14ac:dyDescent="0.35">
      <c r="A11" s="153" t="s">
        <v>421</v>
      </c>
      <c r="B11" s="556">
        <v>7.6499999999999999E-2</v>
      </c>
      <c r="C11" s="523">
        <v>7.6499999999999999E-2</v>
      </c>
      <c r="D11" s="1019">
        <f>+$B11</f>
        <v>7.6499999999999999E-2</v>
      </c>
      <c r="E11" s="1019">
        <f>+B11</f>
        <v>7.6499999999999999E-2</v>
      </c>
      <c r="G11" s="1165">
        <v>2025</v>
      </c>
      <c r="H11" s="290"/>
      <c r="I11" s="290"/>
      <c r="J11" s="1166"/>
      <c r="K11" s="1437" t="s">
        <v>668</v>
      </c>
      <c r="L11" s="1167"/>
    </row>
    <row r="12" spans="1:14" ht="15" customHeight="1" x14ac:dyDescent="0.35">
      <c r="A12" s="153" t="s">
        <v>232</v>
      </c>
      <c r="B12" s="108">
        <f t="shared" ref="B12:E12" si="2">ROUND(+B10*B11,0)</f>
        <v>5838</v>
      </c>
      <c r="C12" s="516">
        <f t="shared" si="2"/>
        <v>5838</v>
      </c>
      <c r="D12" s="165">
        <f t="shared" si="2"/>
        <v>5838</v>
      </c>
      <c r="E12" s="165">
        <f t="shared" si="2"/>
        <v>5834</v>
      </c>
      <c r="G12" s="256" t="s">
        <v>665</v>
      </c>
      <c r="H12" s="257"/>
      <c r="I12" s="257"/>
      <c r="J12" s="1168" t="s">
        <v>666</v>
      </c>
      <c r="K12" s="1438"/>
      <c r="L12" s="1169" t="s">
        <v>669</v>
      </c>
    </row>
    <row r="13" spans="1:14" ht="15" customHeight="1" x14ac:dyDescent="0.35">
      <c r="A13" s="168" t="s">
        <v>144</v>
      </c>
      <c r="B13" s="119">
        <f t="shared" ref="B13:E13" si="3">+B10+B12</f>
        <v>82148</v>
      </c>
      <c r="C13" s="518">
        <f t="shared" si="3"/>
        <v>82148</v>
      </c>
      <c r="D13" s="172">
        <f t="shared" si="3"/>
        <v>82148</v>
      </c>
      <c r="E13" s="172">
        <f t="shared" si="3"/>
        <v>82098</v>
      </c>
      <c r="G13" s="256" t="s">
        <v>667</v>
      </c>
      <c r="H13" s="257"/>
      <c r="I13" s="257"/>
      <c r="J13" s="1201">
        <v>243.62</v>
      </c>
      <c r="K13" s="1201">
        <v>147.04</v>
      </c>
      <c r="L13" s="1171">
        <f>+J13-K13</f>
        <v>96.580000000000013</v>
      </c>
    </row>
    <row r="14" spans="1:14" ht="15" customHeight="1" x14ac:dyDescent="0.35">
      <c r="A14" s="173"/>
      <c r="B14" s="173"/>
      <c r="C14" s="173"/>
      <c r="G14" s="256" t="s">
        <v>672</v>
      </c>
      <c r="H14" s="257"/>
      <c r="I14" s="257"/>
      <c r="J14" s="257"/>
      <c r="K14" s="257"/>
      <c r="L14" s="1171">
        <f>+L13*26</f>
        <v>2511.0800000000004</v>
      </c>
    </row>
    <row r="15" spans="1:14" ht="15" customHeight="1" thickBot="1" x14ac:dyDescent="0.4">
      <c r="A15" s="174" t="s">
        <v>584</v>
      </c>
      <c r="B15" s="551">
        <v>0.1</v>
      </c>
      <c r="C15" s="534">
        <v>0.1</v>
      </c>
      <c r="D15" s="1020">
        <f>+$B15</f>
        <v>0.1</v>
      </c>
      <c r="E15" s="1020">
        <f>+$B15</f>
        <v>0.1</v>
      </c>
      <c r="G15" s="1161" t="s">
        <v>670</v>
      </c>
      <c r="H15" s="746"/>
      <c r="I15" s="746"/>
      <c r="J15" s="746"/>
      <c r="K15" s="746"/>
      <c r="L15" s="1173">
        <f>ROUND(+L14/(1-0.15),0)</f>
        <v>2954</v>
      </c>
      <c r="N15" s="1155"/>
    </row>
    <row r="16" spans="1:14" ht="15" customHeight="1" x14ac:dyDescent="0.35">
      <c r="A16" s="168" t="s">
        <v>151</v>
      </c>
      <c r="B16" s="119">
        <f t="shared" ref="B16:E16" si="4">ROUND(+B13*B15,0)</f>
        <v>8215</v>
      </c>
      <c r="C16" s="518">
        <f t="shared" si="4"/>
        <v>8215</v>
      </c>
      <c r="D16" s="172">
        <f t="shared" si="4"/>
        <v>8215</v>
      </c>
      <c r="E16" s="172">
        <f t="shared" si="4"/>
        <v>8210</v>
      </c>
      <c r="G16" s="1165">
        <v>2024</v>
      </c>
      <c r="H16" s="290"/>
      <c r="I16" s="290"/>
      <c r="J16" s="1166"/>
      <c r="K16" s="1437" t="s">
        <v>668</v>
      </c>
      <c r="L16" s="1167"/>
      <c r="N16" s="1155"/>
    </row>
    <row r="17" spans="1:14" ht="15" customHeight="1" x14ac:dyDescent="0.35">
      <c r="A17" s="173"/>
      <c r="B17" s="173"/>
      <c r="C17" s="173"/>
      <c r="G17" s="256" t="s">
        <v>665</v>
      </c>
      <c r="H17" s="257"/>
      <c r="I17" s="257"/>
      <c r="J17" s="1168" t="s">
        <v>666</v>
      </c>
      <c r="K17" s="1438"/>
      <c r="L17" s="1169" t="s">
        <v>669</v>
      </c>
    </row>
    <row r="18" spans="1:14" ht="15" customHeight="1" x14ac:dyDescent="0.35">
      <c r="A18" s="174" t="s">
        <v>153</v>
      </c>
      <c r="B18" s="111"/>
      <c r="C18" s="506"/>
      <c r="D18" s="140"/>
      <c r="E18" s="140"/>
      <c r="G18" s="256" t="s">
        <v>667</v>
      </c>
      <c r="H18" s="257"/>
      <c r="I18" s="257"/>
      <c r="J18" s="1170">
        <v>243.62</v>
      </c>
      <c r="K18" s="1170">
        <v>147.04</v>
      </c>
      <c r="L18" s="1171">
        <f>+J18-K18</f>
        <v>96.580000000000013</v>
      </c>
    </row>
    <row r="19" spans="1:14" ht="15" customHeight="1" x14ac:dyDescent="0.35">
      <c r="A19" s="153" t="s">
        <v>582</v>
      </c>
      <c r="B19" s="362">
        <v>8.9999999999999993E-3</v>
      </c>
      <c r="C19" s="540">
        <v>8.9999999999999993E-3</v>
      </c>
      <c r="D19" s="359">
        <f>+$B19</f>
        <v>8.9999999999999993E-3</v>
      </c>
      <c r="E19" s="359">
        <f>+$B19</f>
        <v>8.9999999999999993E-3</v>
      </c>
      <c r="G19" s="256" t="s">
        <v>672</v>
      </c>
      <c r="H19" s="257"/>
      <c r="I19" s="257"/>
      <c r="J19" s="257"/>
      <c r="K19" s="257"/>
      <c r="L19" s="1171">
        <f>+L18*26</f>
        <v>2511.0800000000004</v>
      </c>
      <c r="N19" s="1155"/>
    </row>
    <row r="20" spans="1:14" ht="15" customHeight="1" thickBot="1" x14ac:dyDescent="0.4">
      <c r="A20" s="153" t="s">
        <v>581</v>
      </c>
      <c r="B20" s="108">
        <f t="shared" ref="B20:E20" si="5">ROUND(B$13*B19,0)</f>
        <v>739</v>
      </c>
      <c r="C20" s="1024">
        <f t="shared" si="5"/>
        <v>739</v>
      </c>
      <c r="D20" s="1025">
        <f t="shared" si="5"/>
        <v>739</v>
      </c>
      <c r="E20" s="1025">
        <f t="shared" si="5"/>
        <v>739</v>
      </c>
      <c r="G20" s="1161" t="s">
        <v>670</v>
      </c>
      <c r="H20" s="746"/>
      <c r="I20" s="746"/>
      <c r="J20" s="746"/>
      <c r="K20" s="746"/>
      <c r="L20" s="1173">
        <f>ROUND(+L19/(1-0.15),0)</f>
        <v>2954</v>
      </c>
      <c r="N20" s="1155"/>
    </row>
    <row r="21" spans="1:14" ht="15" customHeight="1" x14ac:dyDescent="0.35">
      <c r="A21" s="153" t="s">
        <v>583</v>
      </c>
      <c r="B21" s="362">
        <v>8.0400000000000003E-3</v>
      </c>
      <c r="C21" s="540">
        <v>8.0400000000000003E-3</v>
      </c>
      <c r="D21" s="359">
        <f>+$B21</f>
        <v>8.0400000000000003E-3</v>
      </c>
      <c r="E21" s="359">
        <f>+$B21</f>
        <v>8.0400000000000003E-3</v>
      </c>
      <c r="G21" s="1172" t="s">
        <v>664</v>
      </c>
      <c r="H21" s="290"/>
      <c r="I21" s="290"/>
      <c r="J21" s="290"/>
      <c r="K21" s="290"/>
      <c r="L21" s="896"/>
    </row>
    <row r="22" spans="1:14" ht="15" customHeight="1" x14ac:dyDescent="0.35">
      <c r="A22" s="153" t="s">
        <v>581</v>
      </c>
      <c r="B22" s="108">
        <f t="shared" ref="B22:E22" si="6">ROUND(B$13*B21,0)</f>
        <v>660</v>
      </c>
      <c r="C22" s="1024">
        <f t="shared" si="6"/>
        <v>660</v>
      </c>
      <c r="D22" s="1025">
        <f t="shared" si="6"/>
        <v>660</v>
      </c>
      <c r="E22" s="1025">
        <f t="shared" si="6"/>
        <v>660</v>
      </c>
      <c r="G22" s="256" t="s">
        <v>673</v>
      </c>
      <c r="H22" s="257"/>
      <c r="I22" s="257"/>
      <c r="J22" s="1170">
        <v>245.96</v>
      </c>
      <c r="K22" s="1170">
        <v>148.63999999999999</v>
      </c>
      <c r="L22" s="1171">
        <f>+J22-K22</f>
        <v>97.320000000000022</v>
      </c>
    </row>
    <row r="23" spans="1:14" ht="15" customHeight="1" x14ac:dyDescent="0.35">
      <c r="A23" s="129" t="s">
        <v>155</v>
      </c>
      <c r="B23" s="119">
        <f t="shared" ref="B23:E23" si="7">+B20+B22</f>
        <v>1399</v>
      </c>
      <c r="C23" s="518">
        <f t="shared" si="7"/>
        <v>1399</v>
      </c>
      <c r="D23" s="172">
        <f t="shared" si="7"/>
        <v>1399</v>
      </c>
      <c r="E23" s="172">
        <f t="shared" si="7"/>
        <v>1399</v>
      </c>
      <c r="G23" s="256" t="s">
        <v>672</v>
      </c>
      <c r="H23" s="257"/>
      <c r="I23" s="257"/>
      <c r="J23" s="257"/>
      <c r="K23" s="257"/>
      <c r="L23" s="1171">
        <f>+L22*26</f>
        <v>2530.3200000000006</v>
      </c>
    </row>
    <row r="24" spans="1:14" ht="15" customHeight="1" thickBot="1" x14ac:dyDescent="0.4">
      <c r="G24" s="1161" t="s">
        <v>670</v>
      </c>
      <c r="H24" s="746"/>
      <c r="I24" s="746"/>
      <c r="J24" s="746"/>
      <c r="K24" s="746"/>
      <c r="L24" s="1173">
        <f>ROUND(+L23/(1-0.15),0)</f>
        <v>2977</v>
      </c>
    </row>
    <row r="25" spans="1:14" ht="15" customHeight="1" thickBot="1" x14ac:dyDescent="0.4">
      <c r="A25" s="120" t="s">
        <v>99</v>
      </c>
      <c r="B25" s="191"/>
      <c r="C25" s="543"/>
      <c r="D25" s="351"/>
      <c r="E25" s="351"/>
    </row>
    <row r="26" spans="1:14" ht="15" customHeight="1" thickBot="1" x14ac:dyDescent="0.4">
      <c r="A26" s="123" t="s">
        <v>160</v>
      </c>
      <c r="B26" s="192">
        <v>1500</v>
      </c>
      <c r="C26" s="542">
        <v>1500</v>
      </c>
      <c r="D26" s="352">
        <f>+B26</f>
        <v>1500</v>
      </c>
      <c r="E26" s="352">
        <f>+C26</f>
        <v>1500</v>
      </c>
      <c r="G26" s="1256" t="s">
        <v>125</v>
      </c>
      <c r="H26" s="1257"/>
      <c r="I26" s="1257"/>
      <c r="J26" s="1257"/>
      <c r="K26" s="1257"/>
      <c r="L26" s="1258"/>
    </row>
    <row r="27" spans="1:14" ht="15" customHeight="1" x14ac:dyDescent="0.35">
      <c r="A27" s="123" t="s">
        <v>591</v>
      </c>
      <c r="B27" s="192">
        <v>1300</v>
      </c>
      <c r="C27" s="542">
        <v>1300</v>
      </c>
      <c r="D27" s="352">
        <f t="shared" ref="D27:E28" si="8">+B27</f>
        <v>1300</v>
      </c>
      <c r="E27" s="352">
        <f t="shared" si="8"/>
        <v>1300</v>
      </c>
      <c r="G27" s="1164">
        <v>2025</v>
      </c>
      <c r="H27" s="290"/>
      <c r="I27" s="290"/>
      <c r="J27" s="290" t="s">
        <v>671</v>
      </c>
      <c r="K27" s="290"/>
      <c r="L27" s="1160">
        <f>2967*12</f>
        <v>35604</v>
      </c>
    </row>
    <row r="28" spans="1:14" ht="15" customHeight="1" x14ac:dyDescent="0.35">
      <c r="A28" s="123" t="s">
        <v>99</v>
      </c>
      <c r="B28" s="192">
        <v>600</v>
      </c>
      <c r="C28" s="542">
        <v>600</v>
      </c>
      <c r="D28" s="352">
        <f t="shared" si="8"/>
        <v>600</v>
      </c>
      <c r="E28" s="352">
        <f t="shared" si="8"/>
        <v>600</v>
      </c>
      <c r="G28" s="1157" t="s">
        <v>658</v>
      </c>
      <c r="H28" s="257"/>
      <c r="I28" s="1174">
        <f>ROUNDUP(SUM(I29:I32)+SUM(L29:L32),-2)</f>
        <v>35400</v>
      </c>
      <c r="J28" s="257" t="s">
        <v>688</v>
      </c>
      <c r="K28" s="257"/>
      <c r="L28" s="1202"/>
    </row>
    <row r="29" spans="1:14" ht="15" customHeight="1" x14ac:dyDescent="0.35">
      <c r="A29" s="134" t="s">
        <v>162</v>
      </c>
      <c r="B29" s="193">
        <f t="shared" ref="B29:E29" si="9">+SUM(B26:B28)</f>
        <v>3400</v>
      </c>
      <c r="C29" s="544">
        <f t="shared" si="9"/>
        <v>3400</v>
      </c>
      <c r="D29" s="353">
        <f t="shared" si="9"/>
        <v>3400</v>
      </c>
      <c r="E29" s="353">
        <f t="shared" si="9"/>
        <v>3400</v>
      </c>
      <c r="G29" s="256" t="s">
        <v>659</v>
      </c>
      <c r="H29" s="257"/>
      <c r="I29" s="1159">
        <v>23340</v>
      </c>
      <c r="J29" s="257" t="s">
        <v>814</v>
      </c>
      <c r="K29" s="257"/>
      <c r="L29" s="1160">
        <f>130*12</f>
        <v>1560</v>
      </c>
    </row>
    <row r="30" spans="1:14" ht="15" customHeight="1" thickBot="1" x14ac:dyDescent="0.4">
      <c r="G30" s="256" t="s">
        <v>660</v>
      </c>
      <c r="H30" s="257"/>
      <c r="I30" s="1159">
        <v>6213.36</v>
      </c>
      <c r="J30" s="1428" t="s">
        <v>815</v>
      </c>
      <c r="K30" s="1428"/>
      <c r="L30" s="1160">
        <v>1878.44</v>
      </c>
    </row>
    <row r="31" spans="1:14" ht="15" customHeight="1" thickTop="1" thickBot="1" x14ac:dyDescent="0.4">
      <c r="A31" s="427" t="s">
        <v>738</v>
      </c>
      <c r="B31" s="730">
        <f t="shared" ref="B31:E31" si="10">+B13+B16+B23+B29</f>
        <v>95162</v>
      </c>
      <c r="C31" s="723">
        <f t="shared" si="10"/>
        <v>95162</v>
      </c>
      <c r="D31" s="1021">
        <f t="shared" si="10"/>
        <v>95162</v>
      </c>
      <c r="E31" s="1021">
        <f t="shared" si="10"/>
        <v>95107</v>
      </c>
      <c r="G31" s="256" t="s">
        <v>57</v>
      </c>
      <c r="H31" s="257"/>
      <c r="I31" s="1159">
        <f>174*12</f>
        <v>2088</v>
      </c>
      <c r="J31" s="1428" t="s">
        <v>778</v>
      </c>
      <c r="K31" s="1428"/>
      <c r="L31" s="1160">
        <v>0</v>
      </c>
    </row>
    <row r="32" spans="1:14" ht="15" customHeight="1" thickTop="1" thickBot="1" x14ac:dyDescent="0.4">
      <c r="A32" s="196" t="s">
        <v>587</v>
      </c>
      <c r="B32" s="547"/>
      <c r="C32" s="547"/>
      <c r="D32" s="1022">
        <f>(+D31-B31)/B31</f>
        <v>0</v>
      </c>
      <c r="E32" s="1022">
        <f>(+E31-B31)/B31</f>
        <v>-5.779617914713856E-4</v>
      </c>
      <c r="G32" s="1161" t="s">
        <v>813</v>
      </c>
      <c r="H32" s="746"/>
      <c r="I32" s="1261">
        <v>300</v>
      </c>
      <c r="J32" s="1445"/>
      <c r="K32" s="1445"/>
      <c r="L32" s="1162"/>
    </row>
    <row r="33" spans="1:12" x14ac:dyDescent="0.35">
      <c r="A33" s="257"/>
      <c r="G33" s="1285"/>
      <c r="H33" s="291"/>
      <c r="I33" s="291"/>
      <c r="J33" s="291"/>
      <c r="K33" s="291"/>
      <c r="L33" s="1286"/>
    </row>
    <row r="34" spans="1:12" s="173" customFormat="1" x14ac:dyDescent="0.35">
      <c r="A34" s="154" t="s">
        <v>589</v>
      </c>
      <c r="G34" s="196"/>
      <c r="H34" s="154"/>
      <c r="I34" s="1282"/>
      <c r="J34" s="154"/>
      <c r="K34" s="154"/>
      <c r="L34" s="154"/>
    </row>
    <row r="35" spans="1:12" s="173" customFormat="1" x14ac:dyDescent="0.35">
      <c r="A35" s="154" t="s">
        <v>730</v>
      </c>
      <c r="G35" s="154"/>
      <c r="H35" s="154"/>
      <c r="I35" s="1283"/>
      <c r="J35" s="154"/>
      <c r="K35" s="154"/>
      <c r="L35" s="1283"/>
    </row>
    <row r="36" spans="1:12" x14ac:dyDescent="0.35">
      <c r="A36" s="257"/>
      <c r="B36" s="194"/>
      <c r="C36" s="194"/>
      <c r="D36" s="1023"/>
      <c r="E36" s="1023"/>
      <c r="G36" s="154"/>
      <c r="H36" s="154"/>
      <c r="I36" s="1283"/>
      <c r="J36" s="154"/>
      <c r="K36" s="154"/>
      <c r="L36" s="1283"/>
    </row>
    <row r="37" spans="1:12" ht="18.5" customHeight="1" x14ac:dyDescent="0.35">
      <c r="A37" s="763" t="s">
        <v>424</v>
      </c>
      <c r="G37" s="154"/>
      <c r="H37" s="154"/>
      <c r="I37" s="1283"/>
      <c r="J37" s="1444"/>
      <c r="K37" s="1444"/>
      <c r="L37" s="1283"/>
    </row>
    <row r="38" spans="1:12" ht="15" thickBot="1" x14ac:dyDescent="0.4">
      <c r="A38" s="746"/>
      <c r="B38" s="746"/>
      <c r="G38" s="154"/>
      <c r="H38" s="154"/>
      <c r="I38" s="154"/>
      <c r="J38" s="1444"/>
      <c r="K38" s="1444"/>
      <c r="L38" s="154"/>
    </row>
    <row r="39" spans="1:12" x14ac:dyDescent="0.35">
      <c r="A39" s="744" t="s">
        <v>566</v>
      </c>
      <c r="B39" s="747" t="s">
        <v>425</v>
      </c>
      <c r="G39" s="1284"/>
      <c r="H39" s="905"/>
      <c r="I39" s="905"/>
      <c r="J39" s="257"/>
      <c r="K39" s="257"/>
      <c r="L39" s="257"/>
    </row>
    <row r="40" spans="1:12" x14ac:dyDescent="0.35">
      <c r="G40" s="905"/>
      <c r="H40" s="905"/>
      <c r="I40" s="1174"/>
      <c r="J40" s="257"/>
      <c r="K40" s="257"/>
      <c r="L40" s="257"/>
    </row>
    <row r="41" spans="1:12" ht="15" thickBot="1" x14ac:dyDescent="0.4">
      <c r="A41" s="746"/>
      <c r="B41" s="746"/>
      <c r="G41" s="257"/>
      <c r="H41" s="257"/>
      <c r="I41" s="1159"/>
      <c r="J41" s="257"/>
      <c r="K41" s="257"/>
      <c r="L41" s="1159"/>
    </row>
    <row r="42" spans="1:12" x14ac:dyDescent="0.35">
      <c r="A42" s="744" t="s">
        <v>594</v>
      </c>
      <c r="B42" s="747" t="s">
        <v>425</v>
      </c>
      <c r="G42" s="257"/>
      <c r="H42" s="257"/>
      <c r="I42" s="1159"/>
      <c r="J42" s="257"/>
      <c r="K42" s="257"/>
      <c r="L42" s="1159"/>
    </row>
    <row r="43" spans="1:12" ht="14.5" customHeight="1" x14ac:dyDescent="0.35">
      <c r="G43" s="257"/>
      <c r="H43" s="257"/>
      <c r="I43" s="1159"/>
      <c r="J43" s="1429"/>
      <c r="K43" s="1429"/>
      <c r="L43" s="1159"/>
    </row>
    <row r="44" spans="1:12" ht="15" thickBot="1" x14ac:dyDescent="0.4">
      <c r="A44" s="746"/>
      <c r="B44" s="746"/>
      <c r="G44" s="257"/>
      <c r="H44" s="257"/>
      <c r="I44" s="257"/>
      <c r="J44" s="1429"/>
      <c r="K44" s="1429"/>
      <c r="L44" s="257"/>
    </row>
    <row r="45" spans="1:12" ht="29" x14ac:dyDescent="0.35">
      <c r="A45" s="761" t="s">
        <v>595</v>
      </c>
      <c r="B45" s="747" t="s">
        <v>425</v>
      </c>
      <c r="G45" s="154"/>
      <c r="H45" s="154"/>
      <c r="I45" s="154"/>
      <c r="J45" s="154"/>
      <c r="K45" s="154"/>
      <c r="L45" s="154"/>
    </row>
    <row r="46" spans="1:12" x14ac:dyDescent="0.35">
      <c r="G46" s="173"/>
      <c r="H46" s="173"/>
      <c r="I46" s="173"/>
      <c r="J46" s="173"/>
      <c r="K46" s="173"/>
      <c r="L46" s="173"/>
    </row>
  </sheetData>
  <mergeCells count="9">
    <mergeCell ref="J43:K44"/>
    <mergeCell ref="A1:L1"/>
    <mergeCell ref="G10:L10"/>
    <mergeCell ref="K11:K12"/>
    <mergeCell ref="K16:K17"/>
    <mergeCell ref="J37:K38"/>
    <mergeCell ref="J31:K31"/>
    <mergeCell ref="J32:K32"/>
    <mergeCell ref="J30:K30"/>
  </mergeCells>
  <pageMargins left="0" right="0" top="0.5" bottom="0" header="0.3" footer="0.3"/>
  <pageSetup scale="76" orientation="landscape" horizontalDpi="4294967293" verticalDpi="0" r:id="rId1"/>
  <headerFooter>
    <oddFooter>&amp;R&amp;D</oddFooter>
  </headerFooter>
  <rowBreaks count="1" manualBreakCount="1">
    <brk id="17"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A5" sqref="A5"/>
    </sheetView>
  </sheetViews>
  <sheetFormatPr defaultRowHeight="15.5" x14ac:dyDescent="0.35"/>
  <cols>
    <col min="1" max="16384" width="8.7265625" style="1175"/>
  </cols>
  <sheetData>
    <row r="3" spans="1:10" ht="20" x14ac:dyDescent="0.4">
      <c r="A3" s="1442" t="s">
        <v>80</v>
      </c>
      <c r="B3" s="1442"/>
      <c r="C3" s="1442"/>
      <c r="D3" s="1442"/>
      <c r="E3" s="1442"/>
      <c r="F3" s="1442"/>
      <c r="G3" s="1442"/>
      <c r="H3" s="1442"/>
      <c r="I3" s="1442"/>
      <c r="J3" s="1442"/>
    </row>
    <row r="4" spans="1:10" x14ac:dyDescent="0.35">
      <c r="A4" s="1443" t="s">
        <v>817</v>
      </c>
      <c r="B4" s="1443"/>
      <c r="C4" s="1443"/>
      <c r="D4" s="1443"/>
      <c r="E4" s="1443"/>
      <c r="F4" s="1443"/>
      <c r="G4" s="1443"/>
      <c r="H4" s="1443"/>
      <c r="I4" s="1443"/>
      <c r="J4" s="1443"/>
    </row>
    <row r="7" spans="1:10" x14ac:dyDescent="0.35">
      <c r="A7" s="1175" t="s">
        <v>685</v>
      </c>
    </row>
    <row r="8" spans="1:10" x14ac:dyDescent="0.35">
      <c r="A8" s="1175" t="s">
        <v>675</v>
      </c>
    </row>
    <row r="9" spans="1:10" x14ac:dyDescent="0.35">
      <c r="A9" s="1175" t="s">
        <v>686</v>
      </c>
    </row>
    <row r="10" spans="1:10" x14ac:dyDescent="0.35">
      <c r="A10" s="1175" t="s">
        <v>679</v>
      </c>
    </row>
    <row r="11" spans="1:10" x14ac:dyDescent="0.35">
      <c r="A11" s="1175" t="s">
        <v>690</v>
      </c>
    </row>
    <row r="12" spans="1:10" x14ac:dyDescent="0.35">
      <c r="B12" s="1175" t="s">
        <v>676</v>
      </c>
    </row>
    <row r="13" spans="1:10" x14ac:dyDescent="0.35">
      <c r="B13" s="1175" t="s">
        <v>677</v>
      </c>
    </row>
    <row r="14" spans="1:10" x14ac:dyDescent="0.35">
      <c r="B14" s="1175" t="s">
        <v>678</v>
      </c>
    </row>
    <row r="16" spans="1:10" x14ac:dyDescent="0.35">
      <c r="A16" s="1175" t="s">
        <v>683</v>
      </c>
    </row>
    <row r="17" spans="1:2" x14ac:dyDescent="0.35">
      <c r="A17" s="1175" t="s">
        <v>680</v>
      </c>
    </row>
    <row r="18" spans="1:2" x14ac:dyDescent="0.35">
      <c r="A18" s="1175" t="s">
        <v>804</v>
      </c>
    </row>
    <row r="19" spans="1:2" x14ac:dyDescent="0.35">
      <c r="A19" s="1175" t="s">
        <v>681</v>
      </c>
    </row>
    <row r="20" spans="1:2" x14ac:dyDescent="0.35">
      <c r="A20" s="1175" t="s">
        <v>682</v>
      </c>
    </row>
    <row r="21" spans="1:2" x14ac:dyDescent="0.35">
      <c r="B21" s="1181" t="s">
        <v>816</v>
      </c>
    </row>
    <row r="22" spans="1:2" x14ac:dyDescent="0.35">
      <c r="B22" s="1175" t="s">
        <v>806</v>
      </c>
    </row>
    <row r="24" spans="1:2" x14ac:dyDescent="0.35">
      <c r="B24" s="1175" t="s">
        <v>684</v>
      </c>
    </row>
    <row r="25" spans="1:2" x14ac:dyDescent="0.35">
      <c r="B25" s="1175" t="s">
        <v>687</v>
      </c>
    </row>
  </sheetData>
  <mergeCells count="2">
    <mergeCell ref="A3:J3"/>
    <mergeCell ref="A4:J4"/>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446" t="s">
        <v>739</v>
      </c>
      <c r="B1" s="1446"/>
    </row>
    <row r="3" spans="1:3" x14ac:dyDescent="0.35">
      <c r="A3" s="109" t="s">
        <v>727</v>
      </c>
      <c r="B3" s="741"/>
    </row>
    <row r="4" spans="1:3" x14ac:dyDescent="0.35">
      <c r="A4" s="761"/>
      <c r="B4" s="1011" t="s">
        <v>729</v>
      </c>
    </row>
    <row r="5" spans="1:3" x14ac:dyDescent="0.35">
      <c r="A5" s="761"/>
      <c r="B5" s="786"/>
    </row>
    <row r="6" spans="1:3" x14ac:dyDescent="0.35">
      <c r="A6" s="1013" t="s">
        <v>36</v>
      </c>
      <c r="B6" s="112">
        <f t="shared" ref="B6" si="0">+B8-B7</f>
        <v>53310</v>
      </c>
    </row>
    <row r="7" spans="1:3" ht="15" thickBot="1" x14ac:dyDescent="0.4">
      <c r="A7" s="141" t="s">
        <v>125</v>
      </c>
      <c r="B7" s="114">
        <v>20000</v>
      </c>
    </row>
    <row r="8" spans="1:3" x14ac:dyDescent="0.35">
      <c r="A8" s="141" t="s">
        <v>586</v>
      </c>
      <c r="B8" s="347">
        <v>73310</v>
      </c>
      <c r="C8" s="959" t="s">
        <v>601</v>
      </c>
    </row>
    <row r="9" spans="1:3" x14ac:dyDescent="0.35">
      <c r="A9" s="1217" t="s">
        <v>585</v>
      </c>
      <c r="B9" s="555">
        <f>+C9*12</f>
        <v>2695.92</v>
      </c>
      <c r="C9" s="959">
        <v>224.66</v>
      </c>
    </row>
    <row r="10" spans="1:3" x14ac:dyDescent="0.35">
      <c r="A10" s="160" t="s">
        <v>142</v>
      </c>
      <c r="B10" s="117">
        <f t="shared" ref="B10" si="1">+B8+B9</f>
        <v>76005.919999999998</v>
      </c>
    </row>
    <row r="11" spans="1:3" x14ac:dyDescent="0.35">
      <c r="A11" s="153" t="s">
        <v>421</v>
      </c>
      <c r="B11" s="556">
        <v>7.6499999999999999E-2</v>
      </c>
    </row>
    <row r="12" spans="1:3" x14ac:dyDescent="0.35">
      <c r="A12" s="153" t="s">
        <v>232</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584</v>
      </c>
      <c r="B15" s="551">
        <v>0.1</v>
      </c>
    </row>
    <row r="16" spans="1:3" x14ac:dyDescent="0.35">
      <c r="A16" s="168" t="s">
        <v>151</v>
      </c>
      <c r="B16" s="119">
        <f>ROUND(+B$13*B15,0)</f>
        <v>8182</v>
      </c>
    </row>
    <row r="17" spans="1:2" x14ac:dyDescent="0.35">
      <c r="A17" s="173"/>
      <c r="B17" s="173"/>
    </row>
    <row r="18" spans="1:2" x14ac:dyDescent="0.35">
      <c r="A18" s="174" t="s">
        <v>153</v>
      </c>
      <c r="B18" s="111"/>
    </row>
    <row r="19" spans="1:2" x14ac:dyDescent="0.35">
      <c r="A19" s="153" t="s">
        <v>582</v>
      </c>
      <c r="B19" s="362">
        <v>8.9999999999999993E-3</v>
      </c>
    </row>
    <row r="20" spans="1:2" x14ac:dyDescent="0.35">
      <c r="A20" s="153" t="s">
        <v>581</v>
      </c>
      <c r="B20" s="1218">
        <f>ROUND(+B$13*B19,0)</f>
        <v>736</v>
      </c>
    </row>
    <row r="21" spans="1:2" x14ac:dyDescent="0.35">
      <c r="A21" s="153" t="s">
        <v>583</v>
      </c>
      <c r="B21" s="362">
        <v>8.0400000000000003E-3</v>
      </c>
    </row>
    <row r="22" spans="1:2" x14ac:dyDescent="0.35">
      <c r="A22" s="153" t="s">
        <v>581</v>
      </c>
      <c r="B22" s="119">
        <f>ROUND(+B$13*B21,0)</f>
        <v>658</v>
      </c>
    </row>
    <row r="23" spans="1:2" x14ac:dyDescent="0.35">
      <c r="A23" s="129" t="s">
        <v>155</v>
      </c>
      <c r="B23" s="119">
        <f t="shared" ref="B23" si="4">+B20+B22</f>
        <v>1394</v>
      </c>
    </row>
    <row r="24" spans="1:2" x14ac:dyDescent="0.35">
      <c r="A24" s="109"/>
      <c r="B24" s="109"/>
    </row>
    <row r="25" spans="1:2" x14ac:dyDescent="0.35">
      <c r="A25" s="120" t="s">
        <v>99</v>
      </c>
      <c r="B25" s="191"/>
    </row>
    <row r="26" spans="1:2" x14ac:dyDescent="0.35">
      <c r="A26" s="123" t="s">
        <v>160</v>
      </c>
      <c r="B26" s="192">
        <v>1500</v>
      </c>
    </row>
    <row r="27" spans="1:2" x14ac:dyDescent="0.35">
      <c r="A27" s="123" t="s">
        <v>591</v>
      </c>
      <c r="B27" s="192">
        <v>1300</v>
      </c>
    </row>
    <row r="28" spans="1:2" x14ac:dyDescent="0.35">
      <c r="A28" s="123" t="s">
        <v>99</v>
      </c>
      <c r="B28" s="192">
        <v>600</v>
      </c>
    </row>
    <row r="29" spans="1:2" x14ac:dyDescent="0.35">
      <c r="A29" s="134" t="s">
        <v>162</v>
      </c>
      <c r="B29" s="193">
        <f t="shared" ref="B29" si="5">+SUM(B26:B28)</f>
        <v>3400</v>
      </c>
    </row>
    <row r="30" spans="1:2" ht="15" thickBot="1" x14ac:dyDescent="0.4">
      <c r="A30" s="109"/>
      <c r="B30" s="109"/>
    </row>
    <row r="31" spans="1:2" ht="15.5" thickTop="1" thickBot="1" x14ac:dyDescent="0.4">
      <c r="A31" s="427" t="s">
        <v>738</v>
      </c>
      <c r="B31" s="730">
        <f t="shared" ref="B31" si="6">+B13+B16+B23+B29</f>
        <v>94795.92</v>
      </c>
    </row>
    <row r="32" spans="1:2" ht="15" thickTop="1" x14ac:dyDescent="0.35"/>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workbookViewId="0">
      <selection activeCell="J10" sqref="J10"/>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436" t="s">
        <v>244</v>
      </c>
      <c r="B1" s="1436"/>
      <c r="C1" s="1436"/>
      <c r="D1" s="1436"/>
      <c r="E1" s="1436"/>
      <c r="F1" s="1436"/>
      <c r="G1" s="1436"/>
      <c r="H1" s="1436"/>
      <c r="I1" s="1436"/>
      <c r="J1" s="1436"/>
      <c r="K1" s="1436"/>
      <c r="L1" s="1436"/>
      <c r="M1" s="1436"/>
      <c r="N1" s="1436"/>
      <c r="O1" s="1436"/>
      <c r="P1" s="1436"/>
      <c r="Q1" s="1436"/>
      <c r="R1" s="1436"/>
    </row>
    <row r="2" spans="1:18" ht="15" thickBot="1" x14ac:dyDescent="0.4"/>
    <row r="3" spans="1:18" ht="32.5" customHeight="1" thickTop="1" thickBot="1" x14ac:dyDescent="0.4">
      <c r="C3" s="430" t="s">
        <v>143</v>
      </c>
      <c r="D3" s="430" t="s">
        <v>224</v>
      </c>
      <c r="E3" s="431" t="s">
        <v>289</v>
      </c>
      <c r="F3" s="431" t="s">
        <v>373</v>
      </c>
      <c r="G3" s="995" t="s">
        <v>567</v>
      </c>
      <c r="H3" s="939" t="s">
        <v>713</v>
      </c>
      <c r="I3" s="1473" t="s">
        <v>243</v>
      </c>
      <c r="J3" s="1473"/>
      <c r="K3" s="1473"/>
      <c r="L3" s="1473"/>
      <c r="M3" s="1473"/>
      <c r="N3" s="1473"/>
      <c r="O3" s="1473"/>
      <c r="P3" s="1473"/>
      <c r="Q3" s="1473"/>
      <c r="R3" s="1474"/>
    </row>
    <row r="4" spans="1:18" ht="15" thickTop="1" x14ac:dyDescent="0.35">
      <c r="A4" s="378"/>
      <c r="B4" s="271"/>
      <c r="C4" s="436"/>
      <c r="D4" s="437"/>
      <c r="E4" s="432"/>
      <c r="F4" s="432"/>
      <c r="G4" s="432"/>
      <c r="H4" s="432"/>
      <c r="I4" s="266"/>
      <c r="J4" s="278">
        <v>4</v>
      </c>
      <c r="K4" s="257" t="s">
        <v>180</v>
      </c>
      <c r="L4" s="278">
        <v>4</v>
      </c>
      <c r="M4" s="257" t="s">
        <v>183</v>
      </c>
      <c r="N4" s="278">
        <v>4</v>
      </c>
      <c r="O4" s="257" t="s">
        <v>178</v>
      </c>
      <c r="P4" s="278">
        <v>4</v>
      </c>
      <c r="Q4" s="257" t="s">
        <v>185</v>
      </c>
      <c r="R4" s="261"/>
    </row>
    <row r="5" spans="1:18" x14ac:dyDescent="0.35">
      <c r="A5" s="277"/>
      <c r="B5" s="257"/>
      <c r="C5" s="437"/>
      <c r="D5" s="437"/>
      <c r="E5" s="432"/>
      <c r="F5" s="432"/>
      <c r="G5" s="432"/>
      <c r="H5" s="432"/>
      <c r="I5" s="266"/>
      <c r="J5" s="278">
        <v>4</v>
      </c>
      <c r="K5" s="257" t="s">
        <v>181</v>
      </c>
      <c r="L5" s="278">
        <v>4</v>
      </c>
      <c r="M5" s="257" t="s">
        <v>176</v>
      </c>
      <c r="N5" s="278">
        <v>4</v>
      </c>
      <c r="O5" s="257" t="s">
        <v>184</v>
      </c>
      <c r="P5" s="278">
        <v>4</v>
      </c>
      <c r="Q5" s="257" t="s">
        <v>186</v>
      </c>
      <c r="R5" s="261"/>
    </row>
    <row r="6" spans="1:18" x14ac:dyDescent="0.35">
      <c r="A6" s="280" t="s">
        <v>174</v>
      </c>
      <c r="B6" s="281" t="s">
        <v>175</v>
      </c>
      <c r="C6" s="438">
        <v>52</v>
      </c>
      <c r="D6" s="438">
        <v>52</v>
      </c>
      <c r="E6" s="438">
        <v>52</v>
      </c>
      <c r="F6" s="438">
        <v>52</v>
      </c>
      <c r="G6" s="438">
        <v>52</v>
      </c>
      <c r="H6" s="433">
        <f>+SUM($J$4:$J$6)+SUM($L$4:$L$6)+SUM($N$4:$N$6)+SUM($P$4:$P$6)</f>
        <v>52</v>
      </c>
      <c r="I6" s="395"/>
      <c r="J6" s="282">
        <v>5</v>
      </c>
      <c r="K6" s="281" t="s">
        <v>182</v>
      </c>
      <c r="L6" s="282">
        <v>5</v>
      </c>
      <c r="M6" s="281" t="s">
        <v>177</v>
      </c>
      <c r="N6" s="282">
        <v>5</v>
      </c>
      <c r="O6" s="281" t="s">
        <v>179</v>
      </c>
      <c r="P6" s="282">
        <v>5</v>
      </c>
      <c r="Q6" s="281" t="s">
        <v>187</v>
      </c>
      <c r="R6" s="283"/>
    </row>
    <row r="7" spans="1:18" x14ac:dyDescent="0.35">
      <c r="A7" s="284"/>
      <c r="B7" s="285" t="s">
        <v>188</v>
      </c>
      <c r="C7" s="434">
        <v>4</v>
      </c>
      <c r="D7" s="434">
        <v>4</v>
      </c>
      <c r="E7" s="434">
        <v>4</v>
      </c>
      <c r="F7" s="434">
        <v>4</v>
      </c>
      <c r="G7" s="434">
        <v>3</v>
      </c>
      <c r="H7" s="1215">
        <v>3</v>
      </c>
      <c r="I7" s="396"/>
      <c r="J7" s="285" t="s">
        <v>568</v>
      </c>
      <c r="K7" s="285"/>
      <c r="L7" s="285"/>
      <c r="M7" s="285"/>
      <c r="N7" s="285"/>
      <c r="O7" s="285"/>
      <c r="P7" s="285"/>
      <c r="Q7" s="285"/>
      <c r="R7" s="286"/>
    </row>
    <row r="8" spans="1:18" x14ac:dyDescent="0.35">
      <c r="A8" s="284"/>
      <c r="B8" s="285" t="s">
        <v>189</v>
      </c>
      <c r="C8" s="434">
        <v>6</v>
      </c>
      <c r="D8" s="434">
        <v>7</v>
      </c>
      <c r="E8" s="434">
        <v>7</v>
      </c>
      <c r="F8" s="434">
        <v>7</v>
      </c>
      <c r="G8" s="434">
        <v>7</v>
      </c>
      <c r="H8" s="1215">
        <v>7</v>
      </c>
      <c r="I8" s="396"/>
      <c r="J8" s="285" t="s">
        <v>569</v>
      </c>
      <c r="K8" s="285"/>
      <c r="L8" s="285"/>
      <c r="M8" s="285"/>
      <c r="N8" s="285"/>
      <c r="O8" s="285"/>
      <c r="P8" s="285"/>
      <c r="Q8" s="285"/>
      <c r="R8" s="286"/>
    </row>
    <row r="9" spans="1:18" x14ac:dyDescent="0.35">
      <c r="A9" s="284"/>
      <c r="B9" s="285" t="s">
        <v>226</v>
      </c>
      <c r="C9" s="434">
        <v>1</v>
      </c>
      <c r="D9" s="434">
        <v>1</v>
      </c>
      <c r="E9" s="434">
        <v>1</v>
      </c>
      <c r="F9" s="434">
        <v>0</v>
      </c>
      <c r="G9" s="434">
        <v>1</v>
      </c>
      <c r="H9" s="1215">
        <v>1</v>
      </c>
      <c r="I9" s="396"/>
      <c r="J9" s="285" t="s">
        <v>570</v>
      </c>
      <c r="K9" s="285"/>
      <c r="L9" s="285"/>
      <c r="M9" s="285"/>
      <c r="N9" s="285"/>
      <c r="O9" s="285"/>
      <c r="P9" s="285"/>
      <c r="Q9" s="285"/>
      <c r="R9" s="286"/>
    </row>
    <row r="10" spans="1:18" ht="15" thickBot="1" x14ac:dyDescent="0.4">
      <c r="A10" s="279"/>
      <c r="B10" s="267" t="s">
        <v>190</v>
      </c>
      <c r="C10" s="435">
        <v>15</v>
      </c>
      <c r="D10" s="435">
        <v>15</v>
      </c>
      <c r="E10" s="435">
        <v>15</v>
      </c>
      <c r="F10" s="435">
        <v>15</v>
      </c>
      <c r="G10" s="435">
        <v>15</v>
      </c>
      <c r="H10" s="1216">
        <v>0</v>
      </c>
      <c r="I10" s="397"/>
      <c r="J10" s="267" t="s">
        <v>736</v>
      </c>
      <c r="K10" s="267"/>
      <c r="L10" s="267"/>
      <c r="M10" s="267"/>
      <c r="N10" s="267"/>
      <c r="O10" s="267"/>
      <c r="P10" s="267"/>
      <c r="Q10" s="267"/>
      <c r="R10" s="268"/>
    </row>
    <row r="11" spans="1:18" ht="15.5" thickTop="1" thickBot="1" x14ac:dyDescent="0.4">
      <c r="A11" s="1467" t="s">
        <v>496</v>
      </c>
      <c r="B11" s="1468"/>
      <c r="C11" s="1468"/>
      <c r="D11" s="1468"/>
      <c r="E11" s="1468"/>
      <c r="F11" s="941"/>
      <c r="G11" s="941"/>
      <c r="H11" s="941"/>
      <c r="I11" s="941"/>
      <c r="J11" s="941"/>
      <c r="K11" s="941"/>
      <c r="L11" s="941"/>
      <c r="M11" s="941"/>
      <c r="N11" s="941"/>
      <c r="O11" s="941"/>
      <c r="P11" s="941"/>
      <c r="Q11" s="941"/>
      <c r="R11" s="942"/>
    </row>
    <row r="12" spans="1:18" ht="15" customHeight="1" thickTop="1" x14ac:dyDescent="0.35">
      <c r="A12" s="1457" t="s">
        <v>418</v>
      </c>
      <c r="B12" s="270" t="s">
        <v>394</v>
      </c>
      <c r="C12" s="439">
        <v>37</v>
      </c>
      <c r="D12" s="439">
        <v>37</v>
      </c>
      <c r="E12" s="440">
        <f>+E6-E10</f>
        <v>37</v>
      </c>
      <c r="F12" s="440">
        <f>+F6-F10</f>
        <v>37</v>
      </c>
      <c r="G12" s="440">
        <f>+G6-G10</f>
        <v>37</v>
      </c>
      <c r="H12" s="440">
        <f>+H6-H10</f>
        <v>52</v>
      </c>
      <c r="I12" s="398"/>
      <c r="J12" s="1478" t="s">
        <v>209</v>
      </c>
      <c r="K12" s="1478"/>
      <c r="L12" s="1478"/>
      <c r="M12" s="1478"/>
      <c r="N12" s="1478"/>
      <c r="O12" s="1478"/>
      <c r="P12" s="1478"/>
      <c r="Q12" s="1478"/>
      <c r="R12" s="1479"/>
    </row>
    <row r="13" spans="1:18" ht="14.5" customHeight="1" x14ac:dyDescent="0.35">
      <c r="A13" s="1458"/>
      <c r="B13" s="256" t="s">
        <v>386</v>
      </c>
      <c r="C13" s="441">
        <v>1</v>
      </c>
      <c r="D13" s="441">
        <v>1</v>
      </c>
      <c r="E13" s="441">
        <v>1</v>
      </c>
      <c r="F13" s="441">
        <v>1</v>
      </c>
      <c r="G13" s="441">
        <v>1</v>
      </c>
      <c r="H13" s="441">
        <v>1</v>
      </c>
      <c r="I13" s="399"/>
      <c r="J13" s="1480"/>
      <c r="K13" s="1480"/>
      <c r="L13" s="1480"/>
      <c r="M13" s="1480"/>
      <c r="N13" s="1480"/>
      <c r="O13" s="1480"/>
      <c r="P13" s="1480"/>
      <c r="Q13" s="1480"/>
      <c r="R13" s="1481"/>
    </row>
    <row r="14" spans="1:18" x14ac:dyDescent="0.35">
      <c r="A14" s="1458"/>
      <c r="B14" s="262" t="s">
        <v>574</v>
      </c>
      <c r="C14" s="442">
        <f t="shared" ref="C14:H14" si="0">+C12*C13</f>
        <v>37</v>
      </c>
      <c r="D14" s="442">
        <f t="shared" si="0"/>
        <v>37</v>
      </c>
      <c r="E14" s="442">
        <f t="shared" si="0"/>
        <v>37</v>
      </c>
      <c r="F14" s="442">
        <f t="shared" si="0"/>
        <v>37</v>
      </c>
      <c r="G14" s="442">
        <f t="shared" si="0"/>
        <v>37</v>
      </c>
      <c r="H14" s="442">
        <f t="shared" si="0"/>
        <v>52</v>
      </c>
      <c r="I14" s="400"/>
      <c r="J14" s="1482"/>
      <c r="K14" s="1482"/>
      <c r="L14" s="1482"/>
      <c r="M14" s="1482"/>
      <c r="N14" s="1482"/>
      <c r="O14" s="1482"/>
      <c r="P14" s="1482"/>
      <c r="Q14" s="1482"/>
      <c r="R14" s="1483"/>
    </row>
    <row r="15" spans="1:18" x14ac:dyDescent="0.35">
      <c r="A15" s="1459"/>
      <c r="B15" s="259" t="s">
        <v>390</v>
      </c>
      <c r="C15" s="443"/>
      <c r="D15" s="443"/>
      <c r="E15" s="443"/>
      <c r="F15" s="443"/>
      <c r="G15" s="443"/>
      <c r="H15" s="996"/>
      <c r="I15" s="401"/>
      <c r="J15" s="122"/>
      <c r="K15" s="122"/>
      <c r="L15" s="175"/>
      <c r="M15" s="122"/>
      <c r="N15" s="175"/>
      <c r="O15" s="122"/>
      <c r="P15" s="175"/>
      <c r="Q15" s="122"/>
      <c r="R15" s="260"/>
    </row>
    <row r="16" spans="1:18" x14ac:dyDescent="0.35">
      <c r="A16" s="1459"/>
      <c r="B16" s="256" t="s">
        <v>387</v>
      </c>
      <c r="C16" s="441">
        <v>0</v>
      </c>
      <c r="D16" s="441">
        <v>0</v>
      </c>
      <c r="E16" s="441">
        <v>0</v>
      </c>
      <c r="F16" s="441">
        <v>4</v>
      </c>
      <c r="G16" s="444">
        <f>+G7</f>
        <v>3</v>
      </c>
      <c r="H16" s="444">
        <f>+H7</f>
        <v>3</v>
      </c>
      <c r="I16" s="399"/>
      <c r="J16" s="257" t="s">
        <v>383</v>
      </c>
      <c r="K16" s="154"/>
      <c r="M16" s="257"/>
      <c r="N16" s="154"/>
      <c r="O16" s="257"/>
      <c r="P16" s="154"/>
      <c r="Q16" s="257"/>
      <c r="R16" s="261"/>
    </row>
    <row r="17" spans="1:18" x14ac:dyDescent="0.35">
      <c r="A17" s="1459"/>
      <c r="B17" s="256" t="s">
        <v>388</v>
      </c>
      <c r="C17" s="444">
        <f>+C8</f>
        <v>6</v>
      </c>
      <c r="D17" s="444">
        <f>+D8</f>
        <v>7</v>
      </c>
      <c r="E17" s="444">
        <f>+E8</f>
        <v>7</v>
      </c>
      <c r="F17" s="444">
        <f>+F8</f>
        <v>7</v>
      </c>
      <c r="G17" s="444">
        <f>+G8</f>
        <v>7</v>
      </c>
      <c r="H17" s="444">
        <f>+H8</f>
        <v>7</v>
      </c>
      <c r="I17" s="402"/>
      <c r="J17" s="257" t="s">
        <v>191</v>
      </c>
      <c r="L17" s="154"/>
      <c r="M17" s="257"/>
      <c r="N17" s="154"/>
      <c r="O17" s="257"/>
      <c r="P17" s="154"/>
      <c r="Q17" s="257"/>
      <c r="R17" s="261"/>
    </row>
    <row r="18" spans="1:18" hidden="1" x14ac:dyDescent="0.35">
      <c r="A18" s="1459"/>
      <c r="B18" s="256" t="s">
        <v>389</v>
      </c>
      <c r="C18" s="444">
        <f t="shared" ref="C18:H18" si="1">SUM(C14:C17)</f>
        <v>43</v>
      </c>
      <c r="D18" s="444">
        <f t="shared" si="1"/>
        <v>44</v>
      </c>
      <c r="E18" s="444">
        <f t="shared" si="1"/>
        <v>44</v>
      </c>
      <c r="F18" s="444">
        <f t="shared" si="1"/>
        <v>48</v>
      </c>
      <c r="G18" s="444">
        <f t="shared" si="1"/>
        <v>47</v>
      </c>
      <c r="H18" s="444">
        <f t="shared" si="1"/>
        <v>62</v>
      </c>
      <c r="I18" s="402"/>
      <c r="J18" s="257"/>
      <c r="K18" s="257"/>
      <c r="L18" s="154"/>
      <c r="M18" s="257"/>
      <c r="N18" s="154"/>
      <c r="O18" s="257"/>
      <c r="P18" s="154"/>
      <c r="Q18" s="257"/>
      <c r="R18" s="261"/>
    </row>
    <row r="19" spans="1:18" hidden="1" x14ac:dyDescent="0.35">
      <c r="A19" s="1459"/>
      <c r="B19" s="256" t="s">
        <v>196</v>
      </c>
      <c r="C19" s="444">
        <f>C12</f>
        <v>37</v>
      </c>
      <c r="D19" s="444">
        <f>D12</f>
        <v>37</v>
      </c>
      <c r="E19" s="444">
        <f>E12</f>
        <v>37</v>
      </c>
      <c r="F19" s="444">
        <f>F12</f>
        <v>37</v>
      </c>
      <c r="G19" s="444">
        <v>0</v>
      </c>
      <c r="H19" s="441">
        <v>0</v>
      </c>
      <c r="I19" s="402"/>
      <c r="J19" s="257" t="s">
        <v>391</v>
      </c>
      <c r="L19" s="154"/>
      <c r="M19" s="257"/>
      <c r="N19" s="154"/>
      <c r="O19" s="257"/>
      <c r="P19" s="154"/>
      <c r="Q19" s="257"/>
      <c r="R19" s="261"/>
    </row>
    <row r="20" spans="1:18" x14ac:dyDescent="0.35">
      <c r="A20" s="1459"/>
      <c r="B20" s="262" t="s">
        <v>389</v>
      </c>
      <c r="C20" s="445">
        <f t="shared" ref="C20:H20" si="2">+C18+C19</f>
        <v>80</v>
      </c>
      <c r="D20" s="445">
        <f t="shared" si="2"/>
        <v>81</v>
      </c>
      <c r="E20" s="445">
        <f t="shared" si="2"/>
        <v>81</v>
      </c>
      <c r="F20" s="445">
        <f t="shared" si="2"/>
        <v>85</v>
      </c>
      <c r="G20" s="445">
        <f t="shared" si="2"/>
        <v>47</v>
      </c>
      <c r="H20" s="442">
        <f t="shared" si="2"/>
        <v>62</v>
      </c>
      <c r="I20" s="403"/>
      <c r="J20" s="263"/>
      <c r="K20" s="263"/>
      <c r="L20" s="264"/>
      <c r="M20" s="263"/>
      <c r="N20" s="264"/>
      <c r="O20" s="263"/>
      <c r="P20" s="264"/>
      <c r="Q20" s="263"/>
      <c r="R20" s="265"/>
    </row>
    <row r="21" spans="1:18" x14ac:dyDescent="0.35">
      <c r="A21" s="1460" t="s">
        <v>194</v>
      </c>
      <c r="B21" s="122" t="s">
        <v>201</v>
      </c>
      <c r="C21" s="443">
        <v>6</v>
      </c>
      <c r="D21" s="443">
        <v>6</v>
      </c>
      <c r="E21" s="443">
        <v>6</v>
      </c>
      <c r="F21" s="443">
        <v>5</v>
      </c>
      <c r="G21" s="443">
        <v>5</v>
      </c>
      <c r="H21" s="443">
        <v>5</v>
      </c>
      <c r="I21" s="401"/>
      <c r="J21" s="122" t="s">
        <v>384</v>
      </c>
      <c r="K21" s="122"/>
      <c r="L21" s="175"/>
      <c r="M21" s="122"/>
      <c r="N21" s="175"/>
      <c r="O21" s="122"/>
      <c r="P21" s="175"/>
      <c r="Q21" s="122"/>
      <c r="R21" s="260"/>
    </row>
    <row r="22" spans="1:18" x14ac:dyDescent="0.35">
      <c r="A22" s="1461"/>
      <c r="B22" s="257" t="s">
        <v>392</v>
      </c>
      <c r="C22" s="441">
        <v>0</v>
      </c>
      <c r="D22" s="441">
        <v>3</v>
      </c>
      <c r="E22" s="441">
        <v>3</v>
      </c>
      <c r="F22" s="441">
        <v>3</v>
      </c>
      <c r="G22" s="441">
        <v>3</v>
      </c>
      <c r="H22" s="441">
        <v>3</v>
      </c>
      <c r="I22" s="399"/>
      <c r="J22" s="257"/>
      <c r="L22" s="154"/>
      <c r="M22" s="257"/>
      <c r="N22" s="154"/>
      <c r="O22" s="257"/>
      <c r="P22" s="154"/>
      <c r="Q22" s="257"/>
      <c r="R22" s="261"/>
    </row>
    <row r="23" spans="1:18" hidden="1" x14ac:dyDescent="0.35">
      <c r="A23" s="1461"/>
      <c r="B23" s="257" t="s">
        <v>193</v>
      </c>
      <c r="C23" s="446">
        <v>25</v>
      </c>
      <c r="D23" s="446">
        <v>25</v>
      </c>
      <c r="E23" s="446">
        <v>25</v>
      </c>
      <c r="F23" s="446">
        <v>25</v>
      </c>
      <c r="G23" s="446">
        <v>0</v>
      </c>
      <c r="H23" s="446">
        <v>0</v>
      </c>
      <c r="I23" s="404"/>
      <c r="J23" s="257"/>
      <c r="K23" s="257"/>
      <c r="L23" s="154"/>
      <c r="M23" s="257"/>
      <c r="N23" s="154"/>
      <c r="O23" s="257"/>
      <c r="P23" s="154"/>
      <c r="Q23" s="257"/>
      <c r="R23" s="261"/>
    </row>
    <row r="24" spans="1:18" x14ac:dyDescent="0.35">
      <c r="A24" s="1462"/>
      <c r="B24" s="263" t="s">
        <v>393</v>
      </c>
      <c r="C24" s="447">
        <v>30</v>
      </c>
      <c r="D24" s="447">
        <v>30</v>
      </c>
      <c r="E24" s="447">
        <v>30</v>
      </c>
      <c r="F24" s="447">
        <v>35</v>
      </c>
      <c r="G24" s="447">
        <v>62</v>
      </c>
      <c r="H24" s="447">
        <f>+G24</f>
        <v>62</v>
      </c>
      <c r="I24" s="405"/>
      <c r="J24" s="263"/>
      <c r="K24" s="263"/>
      <c r="L24" s="264"/>
      <c r="M24" s="263"/>
      <c r="N24" s="264"/>
      <c r="O24" s="263"/>
      <c r="P24" s="264"/>
      <c r="Q24" s="263"/>
      <c r="R24" s="265"/>
    </row>
    <row r="25" spans="1:18" ht="14.5" hidden="1" customHeight="1" x14ac:dyDescent="0.35">
      <c r="A25" s="1000" t="s">
        <v>195</v>
      </c>
      <c r="B25" s="122" t="s">
        <v>192</v>
      </c>
      <c r="C25" s="448">
        <f>+C19*C21*C23</f>
        <v>5550</v>
      </c>
      <c r="D25" s="448">
        <f>(+D19*D21*D23)+(D22*2*D23)</f>
        <v>5700</v>
      </c>
      <c r="E25" s="448">
        <f>(+E19*E21*E23)+(E22*2*E23)</f>
        <v>5700</v>
      </c>
      <c r="F25" s="448">
        <f>(+F19*F21*F23)+(F22*2*F23)</f>
        <v>4775</v>
      </c>
      <c r="G25" s="448">
        <f>(+G19*G21*G23)+(G22*2*G23)</f>
        <v>0</v>
      </c>
      <c r="H25" s="997">
        <f>(+H19*H21*H23)+(H22*2*H23)</f>
        <v>0</v>
      </c>
      <c r="I25" s="406"/>
      <c r="J25" s="122"/>
      <c r="K25" s="122"/>
      <c r="L25" s="175"/>
      <c r="M25" s="122"/>
      <c r="N25" s="175"/>
      <c r="O25" s="122"/>
      <c r="P25" s="175"/>
      <c r="Q25" s="122"/>
      <c r="R25" s="260"/>
    </row>
    <row r="26" spans="1:18" ht="14.5" customHeight="1" thickBot="1" x14ac:dyDescent="0.4">
      <c r="A26" s="1009"/>
      <c r="B26" s="905" t="s">
        <v>575</v>
      </c>
      <c r="C26" s="449">
        <f>+C18*C21*C24</f>
        <v>7740</v>
      </c>
      <c r="D26" s="449">
        <f>(+D18*D21*D24)+(D22*2*D24)</f>
        <v>8100</v>
      </c>
      <c r="E26" s="449">
        <f>(+E18*E21*E24)+(E22*2*E24)</f>
        <v>8100</v>
      </c>
      <c r="F26" s="449">
        <f>(+F18*F21*F24)+(F22*2*F24)</f>
        <v>8610</v>
      </c>
      <c r="G26" s="449">
        <f>+ROUND((G20*G21*G24)+(G22*2*G24),0)</f>
        <v>14942</v>
      </c>
      <c r="H26" s="449">
        <f>+ROUND((H20*H21*H24)+(H22*2*H24),0)</f>
        <v>19592</v>
      </c>
      <c r="I26" s="407"/>
      <c r="J26" s="905"/>
      <c r="K26" s="257"/>
      <c r="L26" s="154"/>
      <c r="M26" s="266"/>
      <c r="N26" s="154"/>
      <c r="O26" s="257"/>
      <c r="P26" s="154"/>
      <c r="Q26" s="257"/>
      <c r="R26" s="261"/>
    </row>
    <row r="27" spans="1:18" ht="15" customHeight="1" x14ac:dyDescent="0.35">
      <c r="A27" s="1466" t="s">
        <v>202</v>
      </c>
      <c r="B27" s="290" t="s">
        <v>571</v>
      </c>
      <c r="C27" s="464">
        <v>2</v>
      </c>
      <c r="D27" s="464">
        <v>2</v>
      </c>
      <c r="E27" s="464">
        <v>2</v>
      </c>
      <c r="F27" s="464">
        <v>2</v>
      </c>
      <c r="G27" s="1001">
        <v>1</v>
      </c>
      <c r="H27" s="1001">
        <v>0</v>
      </c>
      <c r="I27" s="416"/>
      <c r="J27" s="290"/>
      <c r="K27" s="290"/>
      <c r="L27" s="291"/>
      <c r="M27" s="290"/>
      <c r="N27" s="291"/>
      <c r="O27" s="290"/>
      <c r="P27" s="291"/>
      <c r="Q27" s="290"/>
      <c r="R27" s="292"/>
    </row>
    <row r="28" spans="1:18" ht="15" customHeight="1" x14ac:dyDescent="0.35">
      <c r="A28" s="1452"/>
      <c r="B28" s="257" t="s">
        <v>206</v>
      </c>
      <c r="C28" s="1002">
        <v>25</v>
      </c>
      <c r="D28" s="1002">
        <v>25</v>
      </c>
      <c r="E28" s="1002">
        <v>25</v>
      </c>
      <c r="F28" s="1002">
        <v>25</v>
      </c>
      <c r="G28" s="449">
        <f>+G24</f>
        <v>62</v>
      </c>
      <c r="H28" s="449">
        <f>+H24</f>
        <v>62</v>
      </c>
      <c r="I28" s="1003"/>
      <c r="J28" s="257"/>
      <c r="K28" s="257"/>
      <c r="L28" s="154"/>
      <c r="M28" s="257"/>
      <c r="N28" s="154"/>
      <c r="O28" s="257"/>
      <c r="P28" s="154"/>
      <c r="Q28" s="257"/>
      <c r="R28" s="261"/>
    </row>
    <row r="29" spans="1:18" ht="15" thickBot="1" x14ac:dyDescent="0.4">
      <c r="A29" s="1004" t="s">
        <v>195</v>
      </c>
      <c r="B29" s="1005" t="s">
        <v>598</v>
      </c>
      <c r="C29" s="1006">
        <f t="shared" ref="C29:F29" si="3">+C20*C27*C28</f>
        <v>4000</v>
      </c>
      <c r="D29" s="1006">
        <f t="shared" si="3"/>
        <v>4050</v>
      </c>
      <c r="E29" s="1006">
        <f t="shared" si="3"/>
        <v>4050</v>
      </c>
      <c r="F29" s="1006">
        <f t="shared" si="3"/>
        <v>4250</v>
      </c>
      <c r="G29" s="1008">
        <f>ROUND(+G20*G27*G28,0)</f>
        <v>2914</v>
      </c>
      <c r="H29" s="1008">
        <f>ROUND(+H20*H27*H28,0)</f>
        <v>0</v>
      </c>
      <c r="I29" s="887"/>
      <c r="J29" s="888"/>
      <c r="K29" s="888"/>
      <c r="L29" s="888"/>
      <c r="M29" s="888"/>
      <c r="N29" s="888"/>
      <c r="O29" s="888"/>
      <c r="P29" s="888"/>
      <c r="Q29" s="888"/>
      <c r="R29" s="1007"/>
    </row>
    <row r="30" spans="1:18" ht="15" thickBot="1" x14ac:dyDescent="0.4">
      <c r="A30" s="1010"/>
      <c r="B30" s="428" t="s">
        <v>197</v>
      </c>
      <c r="C30" s="450">
        <f>+C25+C26</f>
        <v>13290</v>
      </c>
      <c r="D30" s="450">
        <f>+D25+D26</f>
        <v>13800</v>
      </c>
      <c r="E30" s="451">
        <f>+E25+E26</f>
        <v>13800</v>
      </c>
      <c r="F30" s="940">
        <f>+F25+F26</f>
        <v>13385</v>
      </c>
      <c r="G30" s="940">
        <f>+G26+G29</f>
        <v>17856</v>
      </c>
      <c r="H30" s="940">
        <f>+H26+H29</f>
        <v>19592</v>
      </c>
      <c r="I30" s="418"/>
      <c r="J30" s="381"/>
      <c r="K30" s="381"/>
      <c r="L30" s="381"/>
      <c r="M30" s="381"/>
      <c r="N30" s="381"/>
      <c r="O30" s="381"/>
      <c r="P30" s="381"/>
      <c r="Q30" s="381"/>
      <c r="R30" s="419"/>
    </row>
    <row r="31" spans="1:18" ht="15.5" thickTop="1" thickBot="1" x14ac:dyDescent="0.4">
      <c r="A31" s="1467" t="s">
        <v>497</v>
      </c>
      <c r="B31" s="1468"/>
      <c r="C31" s="1468"/>
      <c r="D31" s="1468"/>
      <c r="E31" s="1468"/>
      <c r="F31" s="941"/>
      <c r="G31" s="941"/>
      <c r="H31" s="941"/>
      <c r="I31" s="941"/>
      <c r="J31" s="941"/>
      <c r="K31" s="941"/>
      <c r="L31" s="941"/>
      <c r="M31" s="941"/>
      <c r="N31" s="941"/>
      <c r="O31" s="941"/>
      <c r="P31" s="941"/>
      <c r="Q31" s="941"/>
      <c r="R31" s="942"/>
    </row>
    <row r="32" spans="1:18" ht="15.5" thickTop="1" thickBot="1" x14ac:dyDescent="0.4">
      <c r="A32" s="1469" t="s">
        <v>211</v>
      </c>
      <c r="B32" s="1470"/>
      <c r="C32" s="1470"/>
      <c r="D32" s="1470"/>
      <c r="E32" s="1470"/>
      <c r="F32" s="944"/>
      <c r="G32" s="944"/>
      <c r="H32" s="944"/>
      <c r="I32" s="944"/>
      <c r="J32" s="944"/>
      <c r="K32" s="944"/>
      <c r="L32" s="944"/>
      <c r="M32" s="944"/>
      <c r="N32" s="944"/>
      <c r="O32" s="944"/>
      <c r="P32" s="944"/>
      <c r="Q32" s="944"/>
      <c r="R32" s="945"/>
    </row>
    <row r="33" spans="1:18" ht="15" customHeight="1" x14ac:dyDescent="0.35">
      <c r="A33" s="1452" t="s">
        <v>418</v>
      </c>
      <c r="B33" s="257" t="s">
        <v>385</v>
      </c>
      <c r="C33" s="456">
        <f t="shared" ref="C33:H33" si="4">+C10</f>
        <v>15</v>
      </c>
      <c r="D33" s="456">
        <f t="shared" si="4"/>
        <v>15</v>
      </c>
      <c r="E33" s="456">
        <f t="shared" si="4"/>
        <v>15</v>
      </c>
      <c r="F33" s="456">
        <f t="shared" si="4"/>
        <v>15</v>
      </c>
      <c r="G33" s="456">
        <f t="shared" si="4"/>
        <v>15</v>
      </c>
      <c r="H33" s="456">
        <f t="shared" si="4"/>
        <v>0</v>
      </c>
      <c r="I33" s="412"/>
      <c r="J33" s="1429" t="str">
        <f>+J10</f>
        <v>Memorial Day - Labor Day</v>
      </c>
      <c r="K33" s="1429"/>
      <c r="L33" s="1429"/>
      <c r="M33" s="1429"/>
      <c r="N33" s="1429"/>
      <c r="O33" s="1429"/>
      <c r="P33" s="1429"/>
      <c r="Q33" s="1429"/>
      <c r="R33" s="1477"/>
    </row>
    <row r="34" spans="1:18" x14ac:dyDescent="0.35">
      <c r="A34" s="1452"/>
      <c r="B34" s="257" t="s">
        <v>386</v>
      </c>
      <c r="C34" s="453">
        <v>1</v>
      </c>
      <c r="D34" s="453">
        <v>1</v>
      </c>
      <c r="E34" s="453">
        <v>1</v>
      </c>
      <c r="F34" s="453">
        <v>1</v>
      </c>
      <c r="G34" s="453">
        <v>1</v>
      </c>
      <c r="H34" s="453">
        <v>1</v>
      </c>
      <c r="I34" s="409"/>
      <c r="J34" s="1429"/>
      <c r="K34" s="1429"/>
      <c r="L34" s="1429"/>
      <c r="M34" s="1429"/>
      <c r="N34" s="1429"/>
      <c r="O34" s="1429"/>
      <c r="P34" s="1429"/>
      <c r="Q34" s="1429"/>
      <c r="R34" s="1477"/>
    </row>
    <row r="35" spans="1:18" x14ac:dyDescent="0.35">
      <c r="A35" s="1453"/>
      <c r="B35" s="263" t="s">
        <v>397</v>
      </c>
      <c r="C35" s="454">
        <f t="shared" ref="C35:H35" si="5">+C33*C34</f>
        <v>15</v>
      </c>
      <c r="D35" s="454">
        <f t="shared" si="5"/>
        <v>15</v>
      </c>
      <c r="E35" s="454">
        <f t="shared" si="5"/>
        <v>15</v>
      </c>
      <c r="F35" s="454">
        <f t="shared" si="5"/>
        <v>15</v>
      </c>
      <c r="G35" s="454">
        <f t="shared" si="5"/>
        <v>15</v>
      </c>
      <c r="H35" s="454">
        <f t="shared" si="5"/>
        <v>0</v>
      </c>
      <c r="I35" s="410"/>
      <c r="J35" s="263"/>
      <c r="K35" s="263"/>
      <c r="L35" s="264"/>
      <c r="M35" s="263"/>
      <c r="N35" s="264"/>
      <c r="O35" s="263"/>
      <c r="P35" s="264"/>
      <c r="Q35" s="263"/>
      <c r="R35" s="265"/>
    </row>
    <row r="36" spans="1:18" x14ac:dyDescent="0.35">
      <c r="A36" s="1454" t="s">
        <v>202</v>
      </c>
      <c r="B36" s="122" t="s">
        <v>398</v>
      </c>
      <c r="C36" s="459">
        <v>3</v>
      </c>
      <c r="D36" s="459">
        <v>3</v>
      </c>
      <c r="E36" s="459">
        <v>3</v>
      </c>
      <c r="F36" s="459">
        <v>3</v>
      </c>
      <c r="G36" s="459">
        <v>3</v>
      </c>
      <c r="H36" s="459">
        <v>3</v>
      </c>
      <c r="I36" s="132"/>
      <c r="J36" s="122" t="s">
        <v>203</v>
      </c>
      <c r="L36" s="175"/>
      <c r="M36" s="122"/>
      <c r="N36" s="175"/>
      <c r="O36" s="122"/>
      <c r="P36" s="175"/>
      <c r="Q36" s="122"/>
      <c r="R36" s="260"/>
    </row>
    <row r="37" spans="1:18" x14ac:dyDescent="0.35">
      <c r="A37" s="1453"/>
      <c r="B37" s="263" t="s">
        <v>399</v>
      </c>
      <c r="C37" s="460">
        <v>50</v>
      </c>
      <c r="D37" s="460">
        <v>50</v>
      </c>
      <c r="E37" s="460">
        <v>50</v>
      </c>
      <c r="F37" s="460">
        <v>50</v>
      </c>
      <c r="G37" s="999">
        <f>+G24</f>
        <v>62</v>
      </c>
      <c r="H37" s="999">
        <f>+H24</f>
        <v>62</v>
      </c>
      <c r="I37" s="414"/>
      <c r="J37" s="263"/>
      <c r="K37" s="263"/>
      <c r="L37" s="264"/>
      <c r="M37" s="263"/>
      <c r="N37" s="264"/>
      <c r="O37" s="263"/>
      <c r="P37" s="264"/>
      <c r="Q37" s="263"/>
      <c r="R37" s="265"/>
    </row>
    <row r="38" spans="1:18" ht="15" thickBot="1" x14ac:dyDescent="0.4">
      <c r="A38" s="289" t="s">
        <v>195</v>
      </c>
      <c r="B38" s="287" t="s">
        <v>205</v>
      </c>
      <c r="C38" s="463">
        <f t="shared" ref="C38:F38" si="6">+C35*C36*C37</f>
        <v>2250</v>
      </c>
      <c r="D38" s="463">
        <f t="shared" si="6"/>
        <v>2250</v>
      </c>
      <c r="E38" s="463">
        <f t="shared" si="6"/>
        <v>2250</v>
      </c>
      <c r="F38" s="463">
        <f t="shared" si="6"/>
        <v>2250</v>
      </c>
      <c r="G38" s="463">
        <f>ROUND(+G35*G36*G37,0)</f>
        <v>2790</v>
      </c>
      <c r="H38" s="463">
        <f>ROUND(+H35*H36*H37,0)</f>
        <v>0</v>
      </c>
      <c r="I38" s="415"/>
      <c r="J38" s="175"/>
      <c r="K38" s="175"/>
      <c r="L38" s="175"/>
      <c r="M38" s="175"/>
      <c r="N38" s="175"/>
      <c r="O38" s="175"/>
      <c r="P38" s="175"/>
      <c r="Q38" s="175"/>
      <c r="R38" s="288"/>
    </row>
    <row r="39" spans="1:18" ht="15" customHeight="1" x14ac:dyDescent="0.35">
      <c r="A39" s="1466" t="s">
        <v>202</v>
      </c>
      <c r="B39" s="290" t="s">
        <v>207</v>
      </c>
      <c r="C39" s="464">
        <v>2</v>
      </c>
      <c r="D39" s="464">
        <v>2</v>
      </c>
      <c r="E39" s="464">
        <v>2</v>
      </c>
      <c r="F39" s="464">
        <v>2</v>
      </c>
      <c r="G39" s="464">
        <v>2</v>
      </c>
      <c r="H39" s="464">
        <v>2</v>
      </c>
      <c r="I39" s="416"/>
      <c r="J39" s="290" t="s">
        <v>203</v>
      </c>
      <c r="K39" s="290"/>
      <c r="L39" s="291"/>
      <c r="M39" s="290"/>
      <c r="N39" s="291"/>
      <c r="O39" s="290"/>
      <c r="P39" s="291"/>
      <c r="Q39" s="290"/>
      <c r="R39" s="292"/>
    </row>
    <row r="40" spans="1:18" ht="15" customHeight="1" x14ac:dyDescent="0.35">
      <c r="A40" s="1453"/>
      <c r="B40" s="263" t="s">
        <v>206</v>
      </c>
      <c r="C40" s="460">
        <v>25</v>
      </c>
      <c r="D40" s="460">
        <v>25</v>
      </c>
      <c r="E40" s="460">
        <v>25</v>
      </c>
      <c r="F40" s="460">
        <v>25</v>
      </c>
      <c r="G40" s="460">
        <v>25</v>
      </c>
      <c r="H40" s="460">
        <v>25</v>
      </c>
      <c r="I40" s="414"/>
      <c r="J40" s="263"/>
      <c r="K40" s="263"/>
      <c r="L40" s="264"/>
      <c r="M40" s="263"/>
      <c r="N40" s="264"/>
      <c r="O40" s="263"/>
      <c r="P40" s="264"/>
      <c r="Q40" s="263"/>
      <c r="R40" s="265"/>
    </row>
    <row r="41" spans="1:18" ht="15" thickBot="1" x14ac:dyDescent="0.4">
      <c r="A41" s="293" t="s">
        <v>195</v>
      </c>
      <c r="B41" s="294" t="s">
        <v>208</v>
      </c>
      <c r="C41" s="465">
        <f>+C33*C39*C40</f>
        <v>750</v>
      </c>
      <c r="D41" s="465">
        <f>+D33*D39*D40</f>
        <v>750</v>
      </c>
      <c r="E41" s="465">
        <f>+E33*E39*E40</f>
        <v>750</v>
      </c>
      <c r="F41" s="465">
        <f>+F33*F39*F40</f>
        <v>750</v>
      </c>
      <c r="G41" s="465">
        <f>ROUND(+G35*G39*G40,0)</f>
        <v>750</v>
      </c>
      <c r="H41" s="465">
        <f>ROUND(+H35*H39*H40,0)</f>
        <v>0</v>
      </c>
      <c r="I41" s="417"/>
      <c r="J41" s="295"/>
      <c r="K41" s="295"/>
      <c r="L41" s="295"/>
      <c r="M41" s="295"/>
      <c r="N41" s="295"/>
      <c r="O41" s="295"/>
      <c r="P41" s="295"/>
      <c r="Q41" s="295"/>
      <c r="R41" s="296"/>
    </row>
    <row r="42" spans="1:18" ht="15" customHeight="1" x14ac:dyDescent="0.35">
      <c r="A42" s="1466" t="s">
        <v>202</v>
      </c>
      <c r="B42" s="290" t="s">
        <v>571</v>
      </c>
      <c r="C42" s="464">
        <v>2</v>
      </c>
      <c r="D42" s="464">
        <v>2</v>
      </c>
      <c r="E42" s="464">
        <v>2</v>
      </c>
      <c r="F42" s="464">
        <v>2</v>
      </c>
      <c r="G42" s="464">
        <v>1</v>
      </c>
      <c r="H42" s="464">
        <v>1</v>
      </c>
      <c r="I42" s="416"/>
      <c r="J42" s="290"/>
      <c r="K42" s="290"/>
      <c r="L42" s="291"/>
      <c r="M42" s="290"/>
      <c r="N42" s="291"/>
      <c r="O42" s="290"/>
      <c r="P42" s="291"/>
      <c r="Q42" s="290"/>
      <c r="R42" s="292"/>
    </row>
    <row r="43" spans="1:18" ht="15" customHeight="1" x14ac:dyDescent="0.35">
      <c r="A43" s="1453"/>
      <c r="B43" s="263" t="s">
        <v>576</v>
      </c>
      <c r="C43" s="460">
        <v>25</v>
      </c>
      <c r="D43" s="460">
        <v>25</v>
      </c>
      <c r="E43" s="460">
        <v>25</v>
      </c>
      <c r="F43" s="460">
        <v>25</v>
      </c>
      <c r="G43" s="999">
        <f>+G24</f>
        <v>62</v>
      </c>
      <c r="H43" s="999">
        <f>+H24</f>
        <v>62</v>
      </c>
      <c r="I43" s="414"/>
      <c r="J43" s="263"/>
      <c r="K43" s="263"/>
      <c r="L43" s="264"/>
      <c r="M43" s="263"/>
      <c r="N43" s="264"/>
      <c r="O43" s="263"/>
      <c r="P43" s="264"/>
      <c r="Q43" s="263"/>
      <c r="R43" s="265"/>
    </row>
    <row r="44" spans="1:18" ht="15" thickBot="1" x14ac:dyDescent="0.4">
      <c r="A44" s="293" t="s">
        <v>195</v>
      </c>
      <c r="B44" s="294" t="s">
        <v>572</v>
      </c>
      <c r="C44" s="465">
        <f>+C36*C42*C43</f>
        <v>150</v>
      </c>
      <c r="D44" s="465">
        <f>+D36*D42*D43</f>
        <v>150</v>
      </c>
      <c r="E44" s="465">
        <f>+E36*E42*E43</f>
        <v>150</v>
      </c>
      <c r="F44" s="465">
        <f>+F36*F42*F43</f>
        <v>150</v>
      </c>
      <c r="G44" s="465">
        <f>ROUND(+G35*G42*G43,0)</f>
        <v>930</v>
      </c>
      <c r="H44" s="465">
        <f>ROUND(+H35*H42*H43,0)</f>
        <v>0</v>
      </c>
      <c r="I44" s="417"/>
      <c r="J44" s="295"/>
      <c r="K44" s="295"/>
      <c r="L44" s="295"/>
      <c r="M44" s="295"/>
      <c r="N44" s="295"/>
      <c r="O44" s="295"/>
      <c r="P44" s="295"/>
      <c r="Q44" s="295"/>
      <c r="R44" s="296"/>
    </row>
    <row r="45" spans="1:18" ht="15" thickBot="1" x14ac:dyDescent="0.4">
      <c r="A45" s="276" t="s">
        <v>195</v>
      </c>
      <c r="B45" s="269" t="s">
        <v>573</v>
      </c>
      <c r="C45" s="466">
        <f>+C38+C41</f>
        <v>3000</v>
      </c>
      <c r="D45" s="466">
        <f>+D38+D41</f>
        <v>3000</v>
      </c>
      <c r="E45" s="467">
        <f>+E38+E41</f>
        <v>3000</v>
      </c>
      <c r="F45" s="467">
        <f>+F38+F41</f>
        <v>3000</v>
      </c>
      <c r="G45" s="467">
        <f>+G38+G41+G44</f>
        <v>4470</v>
      </c>
      <c r="H45" s="467">
        <f>+H38+H41+H44</f>
        <v>0</v>
      </c>
      <c r="I45" s="422"/>
      <c r="J45" s="381"/>
      <c r="K45" s="381"/>
      <c r="L45" s="381"/>
      <c r="M45" s="381"/>
      <c r="N45" s="381"/>
      <c r="O45" s="381"/>
      <c r="P45" s="381"/>
      <c r="Q45" s="381"/>
      <c r="R45" s="419"/>
    </row>
    <row r="46" spans="1:18" ht="15.5" thickTop="1" thickBot="1" x14ac:dyDescent="0.4">
      <c r="A46" s="1484" t="s">
        <v>498</v>
      </c>
      <c r="B46" s="1470"/>
      <c r="C46" s="1470"/>
      <c r="D46" s="1470"/>
      <c r="E46" s="1470"/>
      <c r="F46" s="944"/>
      <c r="G46" s="944"/>
      <c r="H46" s="944"/>
      <c r="I46" s="944"/>
      <c r="J46" s="944"/>
      <c r="K46" s="944"/>
      <c r="L46" s="944"/>
      <c r="M46" s="944"/>
      <c r="N46" s="944"/>
      <c r="O46" s="944"/>
      <c r="P46" s="944"/>
      <c r="Q46" s="944"/>
      <c r="R46" s="945"/>
    </row>
    <row r="47" spans="1:18" ht="15" customHeight="1" x14ac:dyDescent="0.35">
      <c r="A47" s="1485" t="s">
        <v>418</v>
      </c>
      <c r="B47" s="290" t="s">
        <v>385</v>
      </c>
      <c r="C47" s="893">
        <f>+C19</f>
        <v>37</v>
      </c>
      <c r="D47" s="893">
        <f>+D19</f>
        <v>37</v>
      </c>
      <c r="E47" s="893">
        <f>+E19</f>
        <v>37</v>
      </c>
      <c r="F47" s="893">
        <v>0</v>
      </c>
      <c r="G47" s="893">
        <f>+G6</f>
        <v>52</v>
      </c>
      <c r="H47" s="893">
        <f>+H6</f>
        <v>52</v>
      </c>
      <c r="I47" s="894"/>
      <c r="J47" s="1488" t="str">
        <f>+J19</f>
        <v>One day per week (excl Lent/Advent services)</v>
      </c>
      <c r="K47" s="1488"/>
      <c r="L47" s="1488"/>
      <c r="M47" s="1488"/>
      <c r="N47" s="1488"/>
      <c r="O47" s="1488"/>
      <c r="P47" s="1488"/>
      <c r="Q47" s="1488"/>
      <c r="R47" s="1489"/>
    </row>
    <row r="48" spans="1:18" x14ac:dyDescent="0.35">
      <c r="A48" s="1486"/>
      <c r="B48" s="257" t="s">
        <v>386</v>
      </c>
      <c r="C48" s="453">
        <v>1</v>
      </c>
      <c r="D48" s="453">
        <v>1</v>
      </c>
      <c r="E48" s="453">
        <v>1</v>
      </c>
      <c r="F48" s="453">
        <v>1</v>
      </c>
      <c r="G48" s="453">
        <v>1</v>
      </c>
      <c r="H48" s="453">
        <v>1</v>
      </c>
      <c r="I48" s="409"/>
      <c r="J48" s="1429"/>
      <c r="K48" s="1429"/>
      <c r="L48" s="1429"/>
      <c r="M48" s="1429"/>
      <c r="N48" s="1429"/>
      <c r="O48" s="1429"/>
      <c r="P48" s="1429"/>
      <c r="Q48" s="1429"/>
      <c r="R48" s="1490"/>
    </row>
    <row r="49" spans="1:18" ht="15" thickBot="1" x14ac:dyDescent="0.4">
      <c r="A49" s="1487"/>
      <c r="B49" s="263" t="s">
        <v>397</v>
      </c>
      <c r="C49" s="454">
        <f t="shared" ref="C49:H49" si="7">+C47*C48</f>
        <v>37</v>
      </c>
      <c r="D49" s="454">
        <f t="shared" si="7"/>
        <v>37</v>
      </c>
      <c r="E49" s="454">
        <f t="shared" si="7"/>
        <v>37</v>
      </c>
      <c r="F49" s="454">
        <f t="shared" si="7"/>
        <v>0</v>
      </c>
      <c r="G49" s="454">
        <f t="shared" si="7"/>
        <v>52</v>
      </c>
      <c r="H49" s="454">
        <f t="shared" si="7"/>
        <v>52</v>
      </c>
      <c r="I49" s="410"/>
      <c r="J49" s="263"/>
      <c r="K49" s="263"/>
      <c r="L49" s="264"/>
      <c r="M49" s="263"/>
      <c r="N49" s="264"/>
      <c r="O49" s="263"/>
      <c r="P49" s="264"/>
      <c r="Q49" s="263"/>
      <c r="R49" s="895"/>
    </row>
    <row r="50" spans="1:18" ht="15" customHeight="1" x14ac:dyDescent="0.35">
      <c r="A50" s="1485" t="s">
        <v>202</v>
      </c>
      <c r="B50" s="290" t="s">
        <v>490</v>
      </c>
      <c r="C50" s="464">
        <v>2</v>
      </c>
      <c r="D50" s="464">
        <v>2</v>
      </c>
      <c r="E50" s="464">
        <v>2</v>
      </c>
      <c r="F50" s="464">
        <v>0</v>
      </c>
      <c r="G50" s="464">
        <v>1</v>
      </c>
      <c r="H50" s="464">
        <v>1</v>
      </c>
      <c r="I50" s="416"/>
      <c r="J50" s="290" t="s">
        <v>203</v>
      </c>
      <c r="K50" s="290"/>
      <c r="L50" s="291"/>
      <c r="M50" s="290"/>
      <c r="N50" s="291"/>
      <c r="O50" s="290"/>
      <c r="P50" s="291"/>
      <c r="Q50" s="290"/>
      <c r="R50" s="896"/>
    </row>
    <row r="51" spans="1:18" ht="15" customHeight="1" x14ac:dyDescent="0.35">
      <c r="A51" s="1487"/>
      <c r="B51" s="263" t="s">
        <v>511</v>
      </c>
      <c r="C51" s="460">
        <v>25</v>
      </c>
      <c r="D51" s="460">
        <v>25</v>
      </c>
      <c r="E51" s="460">
        <v>25</v>
      </c>
      <c r="F51" s="460">
        <v>2759</v>
      </c>
      <c r="G51" s="999">
        <f>+G24</f>
        <v>62</v>
      </c>
      <c r="H51" s="999">
        <f>+H24</f>
        <v>62</v>
      </c>
      <c r="I51" s="414"/>
      <c r="J51" s="263"/>
      <c r="K51" s="263"/>
      <c r="L51" s="264"/>
      <c r="M51" s="263"/>
      <c r="N51" s="264"/>
      <c r="O51" s="263"/>
      <c r="P51" s="264"/>
      <c r="Q51" s="263"/>
      <c r="R51" s="895"/>
    </row>
    <row r="52" spans="1:18" ht="15" thickBot="1" x14ac:dyDescent="0.4">
      <c r="A52" s="897" t="s">
        <v>195</v>
      </c>
      <c r="B52" s="294" t="s">
        <v>491</v>
      </c>
      <c r="C52" s="465">
        <f>+C41*C50*C51</f>
        <v>37500</v>
      </c>
      <c r="D52" s="465">
        <f>+D41*D50*D51</f>
        <v>37500</v>
      </c>
      <c r="E52" s="465">
        <f>+E41*E50*E51</f>
        <v>37500</v>
      </c>
      <c r="F52" s="946">
        <f>+F51</f>
        <v>2759</v>
      </c>
      <c r="G52" s="946">
        <f>ROUND(+G49*G50*G51,0)</f>
        <v>3224</v>
      </c>
      <c r="H52" s="946">
        <f>ROUND(+H49*H50*H51,0)</f>
        <v>3224</v>
      </c>
      <c r="I52" s="417"/>
      <c r="J52" s="295"/>
      <c r="K52" s="295"/>
      <c r="L52" s="295"/>
      <c r="M52" s="295"/>
      <c r="N52" s="295"/>
      <c r="O52" s="295"/>
      <c r="P52" s="295"/>
      <c r="Q52" s="295"/>
      <c r="R52" s="898"/>
    </row>
    <row r="53" spans="1:18" ht="15" thickBot="1" x14ac:dyDescent="0.4">
      <c r="A53" s="1491" t="s">
        <v>499</v>
      </c>
      <c r="B53" s="1492"/>
      <c r="C53" s="1492"/>
      <c r="D53" s="1492"/>
      <c r="E53" s="1492"/>
      <c r="F53" s="880"/>
      <c r="G53" s="880"/>
      <c r="H53" s="880"/>
      <c r="I53" s="880"/>
      <c r="J53" s="880"/>
      <c r="K53" s="880"/>
      <c r="L53" s="880"/>
      <c r="M53" s="880"/>
      <c r="N53" s="880"/>
      <c r="O53" s="880"/>
      <c r="P53" s="880"/>
      <c r="Q53" s="880"/>
      <c r="R53" s="881"/>
    </row>
    <row r="54" spans="1:18" x14ac:dyDescent="0.35">
      <c r="A54" s="882"/>
      <c r="B54" s="899" t="s">
        <v>492</v>
      </c>
      <c r="C54" s="883"/>
      <c r="D54" s="883"/>
      <c r="E54" s="883"/>
      <c r="F54" s="883"/>
      <c r="G54" s="884">
        <v>125</v>
      </c>
      <c r="H54" s="884">
        <v>125</v>
      </c>
      <c r="I54" s="883"/>
      <c r="J54" s="291" t="s">
        <v>493</v>
      </c>
      <c r="K54" s="291"/>
      <c r="L54" s="291"/>
      <c r="M54" s="291"/>
      <c r="N54" s="291"/>
      <c r="O54" s="291"/>
      <c r="P54" s="291"/>
      <c r="Q54" s="291"/>
      <c r="R54" s="885"/>
    </row>
    <row r="55" spans="1:18" ht="15" thickBot="1" x14ac:dyDescent="0.4">
      <c r="A55" s="886"/>
      <c r="B55" s="900" t="s">
        <v>494</v>
      </c>
      <c r="C55" s="887"/>
      <c r="D55" s="887"/>
      <c r="E55" s="887"/>
      <c r="F55" s="887">
        <v>3000</v>
      </c>
      <c r="G55" s="947">
        <f>ROUND(+G54*9,0)</f>
        <v>1125</v>
      </c>
      <c r="H55" s="947">
        <f>ROUND(+H54*9,0)</f>
        <v>1125</v>
      </c>
      <c r="I55" s="887"/>
      <c r="J55" s="888"/>
      <c r="K55" s="888"/>
      <c r="L55" s="888"/>
      <c r="M55" s="888"/>
      <c r="N55" s="888"/>
      <c r="O55" s="888"/>
      <c r="P55" s="888"/>
      <c r="Q55" s="888"/>
      <c r="R55" s="889"/>
    </row>
    <row r="56" spans="1:18" ht="15" thickBot="1" x14ac:dyDescent="0.4">
      <c r="A56" s="948" t="s">
        <v>495</v>
      </c>
      <c r="B56" s="949"/>
      <c r="C56" s="950"/>
      <c r="D56" s="950"/>
      <c r="E56" s="950"/>
      <c r="F56" s="951">
        <f>+F45+F52+F55</f>
        <v>8759</v>
      </c>
      <c r="G56" s="951">
        <f>+G45+G52+G55</f>
        <v>8819</v>
      </c>
      <c r="H56" s="951">
        <f>+H45+H52+H55</f>
        <v>4349</v>
      </c>
      <c r="I56" s="890"/>
      <c r="J56" s="891"/>
      <c r="K56" s="891"/>
      <c r="L56" s="891"/>
      <c r="M56" s="891"/>
      <c r="N56" s="891"/>
      <c r="O56" s="891"/>
      <c r="P56" s="891"/>
      <c r="Q56" s="891"/>
      <c r="R56" s="892"/>
    </row>
    <row r="57" spans="1:18" ht="15" thickBot="1" x14ac:dyDescent="0.4">
      <c r="A57" s="1207" t="s">
        <v>720</v>
      </c>
      <c r="B57" s="1208"/>
      <c r="C57" s="1209"/>
      <c r="D57" s="1209"/>
      <c r="E57" s="1209"/>
      <c r="F57" s="1209"/>
      <c r="G57" s="1209">
        <f>+G30+G56</f>
        <v>26675</v>
      </c>
      <c r="H57" s="1209">
        <f>+H30+H56</f>
        <v>23941</v>
      </c>
      <c r="I57" s="1209"/>
      <c r="J57" s="1210"/>
      <c r="K57" s="1210"/>
      <c r="L57" s="1210"/>
      <c r="M57" s="1210"/>
      <c r="N57" s="1210"/>
      <c r="O57" s="1210"/>
      <c r="P57" s="1210"/>
      <c r="Q57" s="1210"/>
      <c r="R57" s="1211"/>
    </row>
    <row r="58" spans="1:18" x14ac:dyDescent="0.35">
      <c r="A58" s="879"/>
      <c r="B58" s="196"/>
      <c r="C58" s="425"/>
      <c r="D58" s="425"/>
      <c r="E58" s="425"/>
      <c r="F58" s="425"/>
      <c r="G58" s="425"/>
      <c r="H58" s="425"/>
      <c r="I58" s="425"/>
      <c r="J58" s="154"/>
      <c r="K58" s="154"/>
      <c r="L58" s="154"/>
      <c r="M58" s="154"/>
      <c r="N58" s="154"/>
      <c r="O58" s="154"/>
      <c r="P58" s="154"/>
      <c r="Q58" s="154"/>
      <c r="R58" s="154"/>
    </row>
    <row r="59" spans="1:18" ht="15.5" hidden="1" thickTop="1" thickBot="1" x14ac:dyDescent="0.4">
      <c r="A59" s="1471" t="s">
        <v>173</v>
      </c>
      <c r="B59" s="1472"/>
      <c r="C59" s="1472"/>
      <c r="D59" s="1472"/>
      <c r="E59" s="1472"/>
      <c r="F59" s="952"/>
      <c r="G59" s="952"/>
      <c r="H59" s="952"/>
      <c r="I59" s="952"/>
      <c r="J59" s="952"/>
      <c r="K59" s="952"/>
      <c r="L59" s="952"/>
      <c r="M59" s="952"/>
      <c r="N59" s="952"/>
      <c r="O59" s="952"/>
      <c r="P59" s="952"/>
      <c r="Q59" s="952"/>
      <c r="R59" s="953"/>
    </row>
    <row r="60" spans="1:18" ht="15" hidden="1" customHeight="1" thickTop="1" x14ac:dyDescent="0.35">
      <c r="A60" s="1451" t="s">
        <v>418</v>
      </c>
      <c r="B60" s="271" t="s">
        <v>385</v>
      </c>
      <c r="C60" s="452">
        <f t="shared" ref="C60:H60" si="8">+C12</f>
        <v>37</v>
      </c>
      <c r="D60" s="452">
        <f t="shared" si="8"/>
        <v>37</v>
      </c>
      <c r="E60" s="452">
        <f t="shared" si="8"/>
        <v>37</v>
      </c>
      <c r="F60" s="452">
        <f t="shared" si="8"/>
        <v>37</v>
      </c>
      <c r="G60" s="452">
        <f t="shared" si="8"/>
        <v>37</v>
      </c>
      <c r="H60" s="452">
        <f t="shared" si="8"/>
        <v>52</v>
      </c>
      <c r="I60" s="408"/>
      <c r="J60" s="271"/>
      <c r="K60" s="271" t="s">
        <v>204</v>
      </c>
      <c r="L60" s="272"/>
      <c r="M60" s="271"/>
      <c r="N60" s="272"/>
      <c r="O60" s="271"/>
      <c r="P60" s="272"/>
      <c r="Q60" s="271"/>
      <c r="R60" s="273"/>
    </row>
    <row r="61" spans="1:18" hidden="1" x14ac:dyDescent="0.35">
      <c r="A61" s="1452"/>
      <c r="B61" s="257" t="s">
        <v>386</v>
      </c>
      <c r="C61" s="453">
        <v>1</v>
      </c>
      <c r="D61" s="453">
        <v>1</v>
      </c>
      <c r="E61" s="453">
        <v>1</v>
      </c>
      <c r="F61" s="453">
        <v>1</v>
      </c>
      <c r="G61" s="453">
        <v>1</v>
      </c>
      <c r="H61" s="453">
        <v>1</v>
      </c>
      <c r="I61" s="409"/>
      <c r="J61" s="257"/>
      <c r="K61" s="257"/>
      <c r="L61" s="154"/>
      <c r="M61" s="257"/>
      <c r="N61" s="154"/>
      <c r="O61" s="257"/>
      <c r="P61" s="154"/>
      <c r="Q61" s="257"/>
      <c r="R61" s="261"/>
    </row>
    <row r="62" spans="1:18" hidden="1" x14ac:dyDescent="0.35">
      <c r="A62" s="1453"/>
      <c r="B62" s="263" t="s">
        <v>397</v>
      </c>
      <c r="C62" s="454">
        <f t="shared" ref="C62:H62" si="9">+C60*C61</f>
        <v>37</v>
      </c>
      <c r="D62" s="454">
        <f t="shared" si="9"/>
        <v>37</v>
      </c>
      <c r="E62" s="454">
        <f t="shared" si="9"/>
        <v>37</v>
      </c>
      <c r="F62" s="454">
        <f t="shared" si="9"/>
        <v>37</v>
      </c>
      <c r="G62" s="454">
        <f t="shared" si="9"/>
        <v>37</v>
      </c>
      <c r="H62" s="454">
        <f t="shared" si="9"/>
        <v>52</v>
      </c>
      <c r="I62" s="410"/>
      <c r="J62" s="263"/>
      <c r="K62" s="263"/>
      <c r="L62" s="264"/>
      <c r="M62" s="263"/>
      <c r="N62" s="264"/>
      <c r="O62" s="263"/>
      <c r="P62" s="264"/>
      <c r="Q62" s="263"/>
      <c r="R62" s="265"/>
    </row>
    <row r="63" spans="1:18" hidden="1" x14ac:dyDescent="0.35">
      <c r="A63" s="1454" t="s">
        <v>202</v>
      </c>
      <c r="B63" s="122" t="s">
        <v>400</v>
      </c>
      <c r="C63" s="459">
        <v>1</v>
      </c>
      <c r="D63" s="459">
        <v>1</v>
      </c>
      <c r="E63" s="459">
        <v>1</v>
      </c>
      <c r="F63" s="459">
        <v>1</v>
      </c>
      <c r="G63" s="459">
        <v>0</v>
      </c>
      <c r="H63" s="459">
        <v>0</v>
      </c>
      <c r="I63" s="132"/>
      <c r="J63" s="122"/>
      <c r="K63" s="122"/>
      <c r="L63" s="175"/>
      <c r="M63" s="122"/>
      <c r="N63" s="175"/>
      <c r="O63" s="122"/>
      <c r="P63" s="175"/>
      <c r="Q63" s="122"/>
      <c r="R63" s="260"/>
    </row>
    <row r="64" spans="1:18" hidden="1" x14ac:dyDescent="0.35">
      <c r="A64" s="1453"/>
      <c r="B64" s="263" t="s">
        <v>399</v>
      </c>
      <c r="C64" s="460">
        <v>25</v>
      </c>
      <c r="D64" s="460">
        <v>25</v>
      </c>
      <c r="E64" s="460">
        <v>25</v>
      </c>
      <c r="F64" s="460">
        <v>25</v>
      </c>
      <c r="G64" s="460">
        <v>25</v>
      </c>
      <c r="H64" s="460">
        <v>25</v>
      </c>
      <c r="I64" s="414"/>
      <c r="J64" s="263"/>
      <c r="K64" s="263"/>
      <c r="L64" s="264"/>
      <c r="M64" s="263"/>
      <c r="N64" s="264"/>
      <c r="O64" s="263"/>
      <c r="P64" s="264"/>
      <c r="Q64" s="263"/>
      <c r="R64" s="265"/>
    </row>
    <row r="65" spans="1:18" ht="15" hidden="1" thickBot="1" x14ac:dyDescent="0.4">
      <c r="A65" s="276" t="s">
        <v>195</v>
      </c>
      <c r="B65" s="429" t="s">
        <v>372</v>
      </c>
      <c r="C65" s="461">
        <f t="shared" ref="C65:H65" si="10">+C62*C63*C64</f>
        <v>925</v>
      </c>
      <c r="D65" s="461">
        <f t="shared" si="10"/>
        <v>925</v>
      </c>
      <c r="E65" s="462">
        <f t="shared" si="10"/>
        <v>925</v>
      </c>
      <c r="F65" s="462">
        <f t="shared" si="10"/>
        <v>925</v>
      </c>
      <c r="G65" s="462">
        <f t="shared" si="10"/>
        <v>0</v>
      </c>
      <c r="H65" s="462">
        <f t="shared" si="10"/>
        <v>0</v>
      </c>
      <c r="I65" s="421"/>
      <c r="J65" s="420"/>
      <c r="K65" s="420"/>
      <c r="L65" s="420"/>
      <c r="M65" s="420"/>
      <c r="N65" s="420"/>
      <c r="O65" s="420"/>
      <c r="P65" s="420"/>
      <c r="Q65" s="420"/>
      <c r="R65" s="423"/>
    </row>
    <row r="66" spans="1:18" ht="15.5" hidden="1" thickTop="1" thickBot="1" x14ac:dyDescent="0.4">
      <c r="A66" s="1467" t="s">
        <v>401</v>
      </c>
      <c r="B66" s="1468"/>
      <c r="C66" s="1468"/>
      <c r="D66" s="1468"/>
      <c r="E66" s="1468"/>
      <c r="F66" s="941"/>
      <c r="G66" s="941"/>
      <c r="H66" s="941"/>
      <c r="I66" s="941"/>
      <c r="J66" s="941"/>
      <c r="K66" s="941"/>
      <c r="L66" s="941"/>
      <c r="M66" s="941"/>
      <c r="N66" s="941"/>
      <c r="O66" s="941"/>
      <c r="P66" s="941"/>
      <c r="Q66" s="941"/>
      <c r="R66" s="942"/>
    </row>
    <row r="67" spans="1:18" ht="15" hidden="1" customHeight="1" thickTop="1" x14ac:dyDescent="0.35">
      <c r="A67" s="1463" t="s">
        <v>418</v>
      </c>
      <c r="B67" s="271" t="s">
        <v>394</v>
      </c>
      <c r="C67" s="452">
        <v>52</v>
      </c>
      <c r="D67" s="452">
        <v>52</v>
      </c>
      <c r="E67" s="452">
        <f>+E6</f>
        <v>52</v>
      </c>
      <c r="F67" s="452">
        <f>+F6</f>
        <v>52</v>
      </c>
      <c r="G67" s="452">
        <f>+G6</f>
        <v>52</v>
      </c>
      <c r="H67" s="998">
        <f>+H6</f>
        <v>52</v>
      </c>
      <c r="I67" s="408"/>
      <c r="J67" s="271"/>
      <c r="K67" s="271"/>
      <c r="L67" s="272"/>
      <c r="M67" s="271"/>
      <c r="N67" s="272"/>
      <c r="O67" s="271"/>
      <c r="P67" s="272"/>
      <c r="Q67" s="271"/>
      <c r="R67" s="273"/>
    </row>
    <row r="68" spans="1:18" hidden="1" x14ac:dyDescent="0.35">
      <c r="A68" s="1464"/>
      <c r="B68" s="257" t="s">
        <v>386</v>
      </c>
      <c r="C68" s="453">
        <v>2</v>
      </c>
      <c r="D68" s="453">
        <v>2</v>
      </c>
      <c r="E68" s="453">
        <v>2</v>
      </c>
      <c r="F68" s="453">
        <v>2</v>
      </c>
      <c r="G68" s="453">
        <v>2</v>
      </c>
      <c r="H68" s="453">
        <v>2</v>
      </c>
      <c r="I68" s="409"/>
      <c r="J68" s="257"/>
      <c r="K68" s="257"/>
      <c r="L68" s="154"/>
      <c r="M68" s="257"/>
      <c r="N68" s="154"/>
      <c r="O68" s="257"/>
      <c r="P68" s="154"/>
      <c r="Q68" s="257"/>
      <c r="R68" s="261"/>
    </row>
    <row r="69" spans="1:18" hidden="1" x14ac:dyDescent="0.35">
      <c r="A69" s="1464"/>
      <c r="B69" s="263" t="s">
        <v>412</v>
      </c>
      <c r="C69" s="454">
        <f t="shared" ref="C69:H69" si="11">+C67*C68</f>
        <v>104</v>
      </c>
      <c r="D69" s="454">
        <f t="shared" si="11"/>
        <v>104</v>
      </c>
      <c r="E69" s="454">
        <f t="shared" si="11"/>
        <v>104</v>
      </c>
      <c r="F69" s="454">
        <f t="shared" si="11"/>
        <v>104</v>
      </c>
      <c r="G69" s="454">
        <f t="shared" si="11"/>
        <v>104</v>
      </c>
      <c r="H69" s="454">
        <f t="shared" si="11"/>
        <v>104</v>
      </c>
      <c r="I69" s="410"/>
      <c r="J69" s="263"/>
      <c r="K69" s="263"/>
      <c r="L69" s="264"/>
      <c r="M69" s="263"/>
      <c r="N69" s="264"/>
      <c r="O69" s="263"/>
      <c r="P69" s="264"/>
      <c r="Q69" s="263"/>
      <c r="R69" s="265"/>
    </row>
    <row r="70" spans="1:18" hidden="1" x14ac:dyDescent="0.35">
      <c r="A70" s="1464"/>
      <c r="B70" s="122" t="s">
        <v>413</v>
      </c>
      <c r="C70" s="455"/>
      <c r="D70" s="455"/>
      <c r="E70" s="455"/>
      <c r="F70" s="455"/>
      <c r="G70" s="455"/>
      <c r="H70" s="455"/>
      <c r="I70" s="411"/>
      <c r="J70" s="122"/>
      <c r="K70" s="122"/>
      <c r="L70" s="175"/>
      <c r="M70" s="122"/>
      <c r="N70" s="175"/>
      <c r="O70" s="122"/>
      <c r="P70" s="175"/>
      <c r="Q70" s="122"/>
      <c r="R70" s="260"/>
    </row>
    <row r="71" spans="1:18" hidden="1" x14ac:dyDescent="0.35">
      <c r="A71" s="1464"/>
      <c r="B71" s="257" t="s">
        <v>198</v>
      </c>
      <c r="C71" s="456">
        <f t="shared" ref="C71:H72" si="12">+C7</f>
        <v>4</v>
      </c>
      <c r="D71" s="456">
        <f t="shared" si="12"/>
        <v>4</v>
      </c>
      <c r="E71" s="456">
        <f t="shared" si="12"/>
        <v>4</v>
      </c>
      <c r="F71" s="456">
        <f t="shared" si="12"/>
        <v>4</v>
      </c>
      <c r="G71" s="456">
        <f t="shared" si="12"/>
        <v>3</v>
      </c>
      <c r="H71" s="456">
        <f t="shared" si="12"/>
        <v>3</v>
      </c>
      <c r="I71" s="412"/>
      <c r="J71" s="257"/>
      <c r="K71" s="257"/>
      <c r="L71" s="154"/>
      <c r="M71" s="257"/>
      <c r="N71" s="154"/>
      <c r="O71" s="257"/>
      <c r="P71" s="154"/>
      <c r="Q71" s="257"/>
      <c r="R71" s="261"/>
    </row>
    <row r="72" spans="1:18" hidden="1" x14ac:dyDescent="0.35">
      <c r="A72" s="1464"/>
      <c r="B72" s="257" t="s">
        <v>199</v>
      </c>
      <c r="C72" s="456">
        <f t="shared" si="12"/>
        <v>6</v>
      </c>
      <c r="D72" s="456">
        <f t="shared" si="12"/>
        <v>7</v>
      </c>
      <c r="E72" s="456">
        <f t="shared" si="12"/>
        <v>7</v>
      </c>
      <c r="F72" s="456">
        <f t="shared" si="12"/>
        <v>7</v>
      </c>
      <c r="G72" s="456">
        <f t="shared" si="12"/>
        <v>7</v>
      </c>
      <c r="H72" s="456">
        <f t="shared" si="12"/>
        <v>7</v>
      </c>
      <c r="I72" s="412"/>
      <c r="J72" s="257"/>
      <c r="K72" s="257"/>
      <c r="L72" s="154"/>
      <c r="M72" s="257"/>
      <c r="N72" s="154"/>
      <c r="O72" s="257"/>
      <c r="P72" s="154"/>
      <c r="Q72" s="257"/>
      <c r="R72" s="261"/>
    </row>
    <row r="73" spans="1:18" hidden="1" x14ac:dyDescent="0.35">
      <c r="A73" s="1464"/>
      <c r="B73" s="154" t="s">
        <v>200</v>
      </c>
      <c r="C73" s="457">
        <v>20</v>
      </c>
      <c r="D73" s="457">
        <v>20</v>
      </c>
      <c r="E73" s="457">
        <v>20</v>
      </c>
      <c r="F73" s="457">
        <v>0</v>
      </c>
      <c r="G73" s="457">
        <v>0</v>
      </c>
      <c r="H73" s="457">
        <v>0</v>
      </c>
      <c r="I73" s="413"/>
      <c r="J73" s="154" t="s">
        <v>395</v>
      </c>
      <c r="L73" s="154"/>
      <c r="M73" s="154"/>
      <c r="N73" s="154"/>
      <c r="O73" s="154"/>
      <c r="P73" s="154"/>
      <c r="Q73" s="154"/>
      <c r="R73" s="275"/>
    </row>
    <row r="74" spans="1:18" hidden="1" x14ac:dyDescent="0.35">
      <c r="A74" s="1465"/>
      <c r="B74" s="264" t="s">
        <v>414</v>
      </c>
      <c r="C74" s="458">
        <f t="shared" ref="C74:H74" si="13">SUM(C69:C73)</f>
        <v>134</v>
      </c>
      <c r="D74" s="458">
        <f t="shared" si="13"/>
        <v>135</v>
      </c>
      <c r="E74" s="458">
        <f t="shared" si="13"/>
        <v>135</v>
      </c>
      <c r="F74" s="458">
        <f t="shared" si="13"/>
        <v>115</v>
      </c>
      <c r="G74" s="458">
        <f t="shared" si="13"/>
        <v>114</v>
      </c>
      <c r="H74" s="458">
        <f t="shared" si="13"/>
        <v>114</v>
      </c>
      <c r="I74" s="264"/>
      <c r="J74" s="264"/>
      <c r="K74" s="264"/>
      <c r="L74" s="264"/>
      <c r="M74" s="264"/>
      <c r="N74" s="264"/>
      <c r="O74" s="264"/>
      <c r="P74" s="264"/>
      <c r="Q74" s="264"/>
      <c r="R74" s="274"/>
    </row>
    <row r="75" spans="1:18" hidden="1" x14ac:dyDescent="0.35">
      <c r="A75" s="1454" t="s">
        <v>202</v>
      </c>
      <c r="B75" s="122" t="s">
        <v>416</v>
      </c>
      <c r="C75" s="459">
        <v>1</v>
      </c>
      <c r="D75" s="459">
        <v>1</v>
      </c>
      <c r="E75" s="459">
        <v>1</v>
      </c>
      <c r="F75" s="459">
        <v>2</v>
      </c>
      <c r="G75" s="459">
        <v>0</v>
      </c>
      <c r="H75" s="459">
        <v>0</v>
      </c>
      <c r="I75" s="132"/>
      <c r="J75" s="122" t="s">
        <v>415</v>
      </c>
      <c r="K75" s="122"/>
      <c r="L75" s="175"/>
      <c r="M75" s="122"/>
      <c r="N75" s="175"/>
      <c r="O75" s="122"/>
      <c r="P75" s="175"/>
      <c r="Q75" s="122"/>
      <c r="R75" s="260"/>
    </row>
    <row r="76" spans="1:18" hidden="1" x14ac:dyDescent="0.35">
      <c r="A76" s="1453"/>
      <c r="B76" s="263" t="s">
        <v>396</v>
      </c>
      <c r="C76" s="460">
        <v>25</v>
      </c>
      <c r="D76" s="460">
        <v>25</v>
      </c>
      <c r="E76" s="460">
        <v>25</v>
      </c>
      <c r="F76" s="460">
        <v>25</v>
      </c>
      <c r="G76" s="460">
        <v>25</v>
      </c>
      <c r="H76" s="460">
        <v>25</v>
      </c>
      <c r="I76" s="414"/>
      <c r="J76" s="263"/>
      <c r="K76" s="263"/>
      <c r="L76" s="264"/>
      <c r="M76" s="263"/>
      <c r="N76" s="264"/>
      <c r="O76" s="263"/>
      <c r="P76" s="264"/>
      <c r="Q76" s="263"/>
      <c r="R76" s="265"/>
    </row>
    <row r="77" spans="1:18" ht="15" hidden="1" thickBot="1" x14ac:dyDescent="0.4">
      <c r="A77" s="276" t="s">
        <v>195</v>
      </c>
      <c r="B77" s="429" t="s">
        <v>417</v>
      </c>
      <c r="C77" s="461">
        <f t="shared" ref="C77:H77" si="14">+C74*C75*C76</f>
        <v>3350</v>
      </c>
      <c r="D77" s="461">
        <f t="shared" si="14"/>
        <v>3375</v>
      </c>
      <c r="E77" s="462">
        <f t="shared" si="14"/>
        <v>3375</v>
      </c>
      <c r="F77" s="943">
        <f t="shared" si="14"/>
        <v>5750</v>
      </c>
      <c r="G77" s="943">
        <f t="shared" si="14"/>
        <v>0</v>
      </c>
      <c r="H77" s="943">
        <f t="shared" si="14"/>
        <v>0</v>
      </c>
      <c r="I77" s="421"/>
      <c r="J77" s="420"/>
      <c r="K77" s="1475"/>
      <c r="L77" s="1475"/>
      <c r="M77" s="1475"/>
      <c r="N77" s="1475"/>
      <c r="O77" s="1475"/>
      <c r="P77" s="1475"/>
      <c r="Q77" s="1475"/>
      <c r="R77" s="1476"/>
    </row>
    <row r="78" spans="1:18" x14ac:dyDescent="0.35">
      <c r="C78" s="258"/>
      <c r="D78" s="258"/>
      <c r="E78" s="258"/>
      <c r="F78" s="258"/>
      <c r="G78" s="258"/>
      <c r="H78" s="258"/>
      <c r="I78" s="424"/>
      <c r="J78" s="173"/>
      <c r="K78" s="173"/>
      <c r="L78" s="173"/>
      <c r="M78" s="173"/>
      <c r="N78" s="173"/>
      <c r="O78" s="173"/>
      <c r="P78" s="173"/>
      <c r="Q78" s="173"/>
      <c r="R78" s="173"/>
    </row>
    <row r="79" spans="1:18" ht="15.5" hidden="1" thickTop="1" thickBot="1" x14ac:dyDescent="0.4">
      <c r="A79" s="1455" t="s">
        <v>237</v>
      </c>
      <c r="B79" s="1456"/>
      <c r="C79" s="954" t="e">
        <f>+#REF!+C30+C77+C45+C65</f>
        <v>#REF!</v>
      </c>
      <c r="D79" s="955" t="e">
        <f>+#REF!+D30+D77+D45+D65</f>
        <v>#REF!</v>
      </c>
      <c r="E79" s="954" t="e">
        <f>+#REF!+E30+E77+E45+E65</f>
        <v>#REF!</v>
      </c>
      <c r="F79" s="956" t="e">
        <f>+#REF!+F30+F77+F56+F65</f>
        <v>#REF!</v>
      </c>
      <c r="G79" s="956" t="e">
        <f>+#REF!+G30+G77+G56+G65</f>
        <v>#REF!</v>
      </c>
      <c r="H79" s="956" t="e">
        <f>+#REF!+H30+H77+H56+H65</f>
        <v>#REF!</v>
      </c>
      <c r="I79" s="425"/>
      <c r="J79" s="154"/>
      <c r="K79" s="154"/>
      <c r="L79" s="154"/>
      <c r="M79" s="154"/>
      <c r="N79" s="154"/>
      <c r="O79" s="154"/>
      <c r="P79" s="154"/>
      <c r="Q79" s="154"/>
      <c r="R79" s="154"/>
    </row>
    <row r="80" spans="1:18" ht="15" hidden="1" thickTop="1" x14ac:dyDescent="0.35">
      <c r="A80" s="1447" t="s">
        <v>238</v>
      </c>
      <c r="B80" s="1448"/>
      <c r="C80" s="380"/>
      <c r="D80" s="380"/>
      <c r="E80" s="739" t="e">
        <f>+E79-D79</f>
        <v>#REF!</v>
      </c>
      <c r="F80" s="737" t="e">
        <f>+F79-D79</f>
        <v>#REF!</v>
      </c>
      <c r="G80" s="737" t="e">
        <f>+G79-E79</f>
        <v>#REF!</v>
      </c>
      <c r="H80" s="737" t="e">
        <f>+H79-F79</f>
        <v>#REF!</v>
      </c>
      <c r="I80" s="425"/>
      <c r="J80" s="154"/>
      <c r="K80" s="154"/>
      <c r="L80" s="154"/>
      <c r="M80" s="154"/>
      <c r="N80" s="154"/>
      <c r="O80" s="154"/>
      <c r="P80" s="154"/>
      <c r="Q80" s="154"/>
      <c r="R80" s="154"/>
    </row>
    <row r="81" spans="1:18" ht="15" hidden="1" thickBot="1" x14ac:dyDescent="0.4">
      <c r="A81" s="1449"/>
      <c r="B81" s="1450"/>
      <c r="C81" s="422"/>
      <c r="D81" s="422"/>
      <c r="E81" s="740" t="e">
        <f>+E80/D79</f>
        <v>#REF!</v>
      </c>
      <c r="F81" s="738" t="e">
        <f>+F80/D79</f>
        <v>#REF!</v>
      </c>
      <c r="G81" s="738" t="e">
        <f>+G80/E79</f>
        <v>#REF!</v>
      </c>
      <c r="H81" s="738" t="e">
        <f>+H80/F79</f>
        <v>#REF!</v>
      </c>
      <c r="I81" s="426"/>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K77:R77"/>
    <mergeCell ref="J33:R34"/>
    <mergeCell ref="A11:E11"/>
    <mergeCell ref="J12:R12"/>
    <mergeCell ref="A31:E31"/>
    <mergeCell ref="J13:R14"/>
    <mergeCell ref="A42:A43"/>
    <mergeCell ref="A27:A28"/>
    <mergeCell ref="A46:E46"/>
    <mergeCell ref="A47:A49"/>
    <mergeCell ref="J47:R48"/>
    <mergeCell ref="A50:A51"/>
    <mergeCell ref="A53:E53"/>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446" t="s">
        <v>548</v>
      </c>
      <c r="C1" s="1446"/>
      <c r="D1" s="1446"/>
      <c r="E1" s="1446"/>
      <c r="F1" s="1446"/>
      <c r="G1" s="1446"/>
    </row>
    <row r="2" spans="1:7" ht="43.5" x14ac:dyDescent="0.35">
      <c r="B2" s="959" t="s">
        <v>549</v>
      </c>
      <c r="C2" s="987" t="s">
        <v>550</v>
      </c>
      <c r="D2" s="987" t="s">
        <v>552</v>
      </c>
      <c r="E2" s="987" t="s">
        <v>553</v>
      </c>
      <c r="F2" s="987" t="s">
        <v>551</v>
      </c>
      <c r="G2" s="987" t="s">
        <v>487</v>
      </c>
    </row>
    <row r="3" spans="1:7" x14ac:dyDescent="0.35">
      <c r="A3" t="s">
        <v>539</v>
      </c>
      <c r="B3" s="989">
        <v>78852</v>
      </c>
      <c r="C3" s="989">
        <v>-50000</v>
      </c>
      <c r="D3" s="990">
        <f>+B3+C3</f>
        <v>28852</v>
      </c>
      <c r="E3" s="990">
        <f>+D3/D$15*(400000-80000)</f>
        <v>26337.264489019886</v>
      </c>
      <c r="F3" s="989">
        <v>20000</v>
      </c>
      <c r="G3" s="990">
        <f>+E3+F3</f>
        <v>46337.264489019886</v>
      </c>
    </row>
    <row r="4" spans="1:7" x14ac:dyDescent="0.35">
      <c r="A4" t="s">
        <v>540</v>
      </c>
      <c r="B4" s="989">
        <v>26196</v>
      </c>
      <c r="C4" s="989"/>
      <c r="D4" s="990">
        <f t="shared" ref="D4:D14" si="0">+B4+C4</f>
        <v>26196</v>
      </c>
      <c r="E4" s="990">
        <f t="shared" ref="E4:E14" si="1">+D4/D$15*(400000-80000)</f>
        <v>23912.761006320707</v>
      </c>
      <c r="F4" s="989"/>
      <c r="G4" s="990">
        <f t="shared" ref="G4:G14" si="2">+E4+F4</f>
        <v>23912.761006320707</v>
      </c>
    </row>
    <row r="5" spans="1:7" x14ac:dyDescent="0.35">
      <c r="A5" t="s">
        <v>541</v>
      </c>
      <c r="B5" s="989">
        <v>35852</v>
      </c>
      <c r="C5" s="989"/>
      <c r="D5" s="990">
        <f t="shared" si="0"/>
        <v>35852</v>
      </c>
      <c r="E5" s="990">
        <f t="shared" si="1"/>
        <v>32727.145655772252</v>
      </c>
      <c r="F5" s="989"/>
      <c r="G5" s="990">
        <f t="shared" si="2"/>
        <v>32727.145655772252</v>
      </c>
    </row>
    <row r="6" spans="1:7" x14ac:dyDescent="0.35">
      <c r="A6" t="s">
        <v>542</v>
      </c>
      <c r="B6" s="989">
        <v>27285</v>
      </c>
      <c r="C6" s="989"/>
      <c r="D6" s="990">
        <f t="shared" si="0"/>
        <v>27285</v>
      </c>
      <c r="E6" s="990">
        <f t="shared" si="1"/>
        <v>24906.843947834037</v>
      </c>
      <c r="F6" s="989"/>
      <c r="G6" s="990">
        <f t="shared" si="2"/>
        <v>24906.843947834037</v>
      </c>
    </row>
    <row r="7" spans="1:7" x14ac:dyDescent="0.35">
      <c r="A7" t="s">
        <v>176</v>
      </c>
      <c r="B7" s="989">
        <v>22113</v>
      </c>
      <c r="C7" s="989"/>
      <c r="D7" s="990">
        <f t="shared" si="0"/>
        <v>22113</v>
      </c>
      <c r="E7" s="990">
        <f t="shared" si="1"/>
        <v>20185.63460577072</v>
      </c>
      <c r="F7" s="989"/>
      <c r="G7" s="990">
        <f t="shared" si="2"/>
        <v>20185.63460577072</v>
      </c>
    </row>
    <row r="8" spans="1:7" x14ac:dyDescent="0.35">
      <c r="A8" t="s">
        <v>177</v>
      </c>
      <c r="B8" s="989">
        <v>22022.75</v>
      </c>
      <c r="C8" s="989"/>
      <c r="D8" s="990">
        <f t="shared" si="0"/>
        <v>22022.75</v>
      </c>
      <c r="E8" s="990">
        <f t="shared" si="1"/>
        <v>20103.250780727947</v>
      </c>
      <c r="F8" s="989"/>
      <c r="G8" s="990">
        <f t="shared" si="2"/>
        <v>20103.250780727947</v>
      </c>
    </row>
    <row r="9" spans="1:7" x14ac:dyDescent="0.35">
      <c r="A9" t="s">
        <v>178</v>
      </c>
      <c r="B9" s="989">
        <v>78080</v>
      </c>
      <c r="C9" s="989">
        <v>-50000</v>
      </c>
      <c r="D9" s="990">
        <f t="shared" si="0"/>
        <v>28080</v>
      </c>
      <c r="E9" s="990">
        <f t="shared" si="1"/>
        <v>25632.551880343766</v>
      </c>
      <c r="F9" s="989">
        <v>60000</v>
      </c>
      <c r="G9" s="990">
        <f t="shared" si="2"/>
        <v>85632.551880343759</v>
      </c>
    </row>
    <row r="10" spans="1:7" x14ac:dyDescent="0.35">
      <c r="A10" t="s">
        <v>543</v>
      </c>
      <c r="B10" s="989">
        <v>23106</v>
      </c>
      <c r="C10" s="989"/>
      <c r="D10" s="990">
        <f t="shared" si="0"/>
        <v>23106</v>
      </c>
      <c r="E10" s="990">
        <f t="shared" si="1"/>
        <v>21092.084891282873</v>
      </c>
      <c r="F10" s="989"/>
      <c r="G10" s="990">
        <f t="shared" si="2"/>
        <v>21092.084891282873</v>
      </c>
    </row>
    <row r="11" spans="1:7" x14ac:dyDescent="0.35">
      <c r="A11" t="s">
        <v>544</v>
      </c>
      <c r="B11" s="989">
        <v>22482</v>
      </c>
      <c r="C11" s="989"/>
      <c r="D11" s="990">
        <f t="shared" si="0"/>
        <v>22482</v>
      </c>
      <c r="E11" s="990">
        <f t="shared" si="1"/>
        <v>20522.472627275238</v>
      </c>
      <c r="F11" s="989"/>
      <c r="G11" s="990">
        <f t="shared" si="2"/>
        <v>20522.472627275238</v>
      </c>
    </row>
    <row r="12" spans="1:7" x14ac:dyDescent="0.35">
      <c r="A12" t="s">
        <v>545</v>
      </c>
      <c r="B12" s="989">
        <v>34623.75</v>
      </c>
      <c r="C12" s="989"/>
      <c r="D12" s="990">
        <f t="shared" si="0"/>
        <v>34623.75</v>
      </c>
      <c r="E12" s="990">
        <f t="shared" si="1"/>
        <v>31605.949721048884</v>
      </c>
      <c r="F12" s="989"/>
      <c r="G12" s="990">
        <f t="shared" si="2"/>
        <v>31605.949721048884</v>
      </c>
    </row>
    <row r="13" spans="1:7" x14ac:dyDescent="0.35">
      <c r="A13" t="s">
        <v>546</v>
      </c>
      <c r="B13" s="989">
        <v>41326</v>
      </c>
      <c r="C13" s="989"/>
      <c r="D13" s="990">
        <f t="shared" si="0"/>
        <v>41326</v>
      </c>
      <c r="E13" s="990">
        <f t="shared" si="1"/>
        <v>37724.032728172599</v>
      </c>
      <c r="F13" s="989"/>
      <c r="G13" s="990">
        <f t="shared" si="2"/>
        <v>37724.032728172599</v>
      </c>
    </row>
    <row r="14" spans="1:7" x14ac:dyDescent="0.35">
      <c r="A14" t="s">
        <v>547</v>
      </c>
      <c r="B14" s="989">
        <v>38615.75</v>
      </c>
      <c r="C14" s="989"/>
      <c r="D14" s="990">
        <f t="shared" si="0"/>
        <v>38615.75</v>
      </c>
      <c r="E14" s="990">
        <f t="shared" si="1"/>
        <v>35250.007666431091</v>
      </c>
      <c r="F14" s="989"/>
      <c r="G14" s="990">
        <f t="shared" si="2"/>
        <v>35250.007666431091</v>
      </c>
    </row>
    <row r="15" spans="1:7" x14ac:dyDescent="0.35">
      <c r="A15" t="s">
        <v>126</v>
      </c>
      <c r="B15" s="988">
        <f t="shared" ref="B15:G15" si="3">SUM(B3:B14)</f>
        <v>450554.25</v>
      </c>
      <c r="C15" s="988">
        <f t="shared" si="3"/>
        <v>-100000</v>
      </c>
      <c r="D15" s="988">
        <f t="shared" si="3"/>
        <v>350554.25</v>
      </c>
      <c r="E15" s="988">
        <f t="shared" si="3"/>
        <v>320000</v>
      </c>
      <c r="F15" s="988">
        <f t="shared" si="3"/>
        <v>80000</v>
      </c>
      <c r="G15" s="988">
        <f t="shared" si="3"/>
        <v>400000</v>
      </c>
    </row>
  </sheetData>
  <mergeCells count="1">
    <mergeCell ref="B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299" customWidth="1"/>
    <col min="2" max="2" width="43.54296875" style="299" customWidth="1"/>
    <col min="3" max="3" width="10.26953125" style="323" customWidth="1"/>
    <col min="4" max="4" width="58.90625" style="299" customWidth="1"/>
    <col min="5" max="5" width="9.7265625" style="299" bestFit="1" customWidth="1"/>
    <col min="6" max="16384" width="8.7265625" style="299"/>
  </cols>
  <sheetData>
    <row r="1" spans="1:5" ht="20" x14ac:dyDescent="0.35">
      <c r="A1" s="1418" t="s">
        <v>80</v>
      </c>
      <c r="B1" s="1418"/>
      <c r="C1" s="1418"/>
      <c r="D1" s="1418"/>
      <c r="E1" s="1418"/>
    </row>
    <row r="2" spans="1:5" ht="18.5" customHeight="1" x14ac:dyDescent="0.35">
      <c r="A2" s="1419" t="s">
        <v>656</v>
      </c>
      <c r="B2" s="1419"/>
      <c r="C2" s="1419"/>
      <c r="D2" s="1419"/>
      <c r="E2" s="1419"/>
    </row>
    <row r="3" spans="1:5" ht="18.5" customHeight="1" thickBot="1" x14ac:dyDescent="0.4">
      <c r="A3" s="479"/>
      <c r="B3" s="479"/>
      <c r="C3" s="479"/>
      <c r="D3" s="479"/>
      <c r="E3" s="479"/>
    </row>
    <row r="4" spans="1:5" ht="30" hidden="1" customHeight="1" thickBot="1" x14ac:dyDescent="0.4">
      <c r="A4" s="479"/>
      <c r="B4" s="1503" t="s">
        <v>262</v>
      </c>
      <c r="C4" s="1504"/>
      <c r="D4" s="1504"/>
      <c r="E4" s="1505"/>
    </row>
    <row r="5" spans="1:5" hidden="1" x14ac:dyDescent="0.35">
      <c r="B5" s="480" t="s">
        <v>322</v>
      </c>
      <c r="C5" s="481">
        <f>+'New Year-Full Year'!Q68+'New Year-Full Year'!Q70</f>
        <v>82416</v>
      </c>
      <c r="D5" s="1493" t="str">
        <f>+"Annually  ($"&amp;'New Year-Full Year'!Q68-22000&amp;" salary, $22000 housing, and $"&amp;'New Year-Full Year'!Q70&amp;" FICA Tax)"</f>
        <v>Annually  ($54164 salary, $22000 housing, and $6252 FICA Tax)</v>
      </c>
      <c r="E5" s="1494"/>
    </row>
    <row r="6" spans="1:5" ht="16" hidden="1" thickBot="1" x14ac:dyDescent="0.4">
      <c r="B6" s="483" t="s">
        <v>261</v>
      </c>
      <c r="C6" s="482">
        <f>+'New Year-Full Year'!Q71</f>
        <v>8798</v>
      </c>
      <c r="D6" s="1495" t="str">
        <f>"Annually (the Portico % to use is "&amp;'Pastor Karen'!Q39*100&amp;"%)"</f>
        <v>Annually (the Portico % to use is 22.5%)</v>
      </c>
      <c r="E6" s="1496"/>
    </row>
    <row r="7" spans="1:5" hidden="1" x14ac:dyDescent="0.35">
      <c r="B7" s="480" t="s">
        <v>323</v>
      </c>
      <c r="C7" s="481">
        <f>+'New Year-Full Year'!Q78+'New Year-Full Year'!Q80</f>
        <v>79148</v>
      </c>
      <c r="D7" s="1493" t="str">
        <f>+"Annually  ($"&amp;'New Year-Full Year'!Q78-20000&amp;" salary, $20000 housing, and $"&amp;'New Year-Full Year'!Q80&amp;" FICA Tax)"</f>
        <v>Annually  ($53310 salary, $20000 housing, and $5838 FICA Tax)</v>
      </c>
      <c r="E7" s="1494"/>
    </row>
    <row r="8" spans="1:5" ht="16" hidden="1" thickBot="1" x14ac:dyDescent="0.4">
      <c r="B8" s="483" t="s">
        <v>261</v>
      </c>
      <c r="C8" s="482">
        <f>+'New Year-Full Year'!Q81</f>
        <v>8215</v>
      </c>
      <c r="D8" s="1495" t="str">
        <f>"Annually (the Portico % to use is "&amp;'Pastor Kelly'!E37*100&amp;"%)"</f>
        <v>Annually (the Portico % to use is 16%)</v>
      </c>
      <c r="E8" s="1496"/>
    </row>
    <row r="9" spans="1:5" ht="18.5" hidden="1" customHeight="1" thickBot="1" x14ac:dyDescent="0.4">
      <c r="A9" s="479"/>
      <c r="B9" s="479"/>
      <c r="C9" s="479"/>
      <c r="D9" s="479"/>
      <c r="E9" s="479"/>
    </row>
    <row r="10" spans="1:5" ht="30" customHeight="1" thickBot="1" x14ac:dyDescent="0.4">
      <c r="A10" s="305"/>
      <c r="B10" s="318" t="s">
        <v>214</v>
      </c>
      <c r="C10" s="319" t="s">
        <v>215</v>
      </c>
      <c r="D10" s="305"/>
      <c r="E10" s="612"/>
    </row>
    <row r="11" spans="1:5" ht="18.5" customHeight="1" x14ac:dyDescent="0.35">
      <c r="A11" s="305"/>
      <c r="B11" s="314" t="s">
        <v>538</v>
      </c>
      <c r="C11" s="315" t="s">
        <v>371</v>
      </c>
      <c r="D11" s="305"/>
      <c r="E11" s="305"/>
    </row>
    <row r="12" spans="1:5" ht="18.5" customHeight="1" x14ac:dyDescent="0.35">
      <c r="A12" s="305"/>
      <c r="B12" s="314" t="s">
        <v>259</v>
      </c>
      <c r="C12" s="315">
        <f>+'New Year-Full Year'!F96</f>
        <v>23.8</v>
      </c>
      <c r="D12" s="613"/>
      <c r="E12" s="305"/>
    </row>
    <row r="13" spans="1:5" ht="18.5" customHeight="1" x14ac:dyDescent="0.35">
      <c r="A13" s="305"/>
      <c r="B13" s="314" t="s">
        <v>260</v>
      </c>
      <c r="C13" s="315">
        <f>+'New Year-Full Year'!F100</f>
        <v>13.1</v>
      </c>
      <c r="D13" s="305"/>
      <c r="E13" s="305"/>
    </row>
    <row r="14" spans="1:5" ht="18.5" customHeight="1" x14ac:dyDescent="0.35">
      <c r="A14" s="780"/>
      <c r="B14" s="314" t="s">
        <v>432</v>
      </c>
      <c r="C14" s="315">
        <f>+'New Year-Full Year'!F97</f>
        <v>0</v>
      </c>
      <c r="D14" s="780"/>
      <c r="E14" s="780"/>
    </row>
    <row r="15" spans="1:5" ht="18.5" hidden="1" customHeight="1" x14ac:dyDescent="0.35">
      <c r="A15" s="305"/>
      <c r="B15" s="314" t="s">
        <v>433</v>
      </c>
      <c r="C15" s="315" t="e">
        <f>+'New Year-Full Year'!#REF!</f>
        <v>#REF!</v>
      </c>
      <c r="D15" s="305"/>
      <c r="E15" s="305"/>
    </row>
    <row r="16" spans="1:5" ht="4" customHeight="1" thickBot="1" x14ac:dyDescent="0.4">
      <c r="A16" s="305"/>
      <c r="B16" s="316"/>
      <c r="C16" s="317"/>
      <c r="D16" s="305"/>
      <c r="E16" s="305"/>
    </row>
    <row r="17" spans="1:5" ht="8" customHeight="1" x14ac:dyDescent="0.35">
      <c r="A17" s="305"/>
      <c r="B17" s="305"/>
      <c r="C17" s="305"/>
      <c r="D17" s="305"/>
      <c r="E17" s="305"/>
    </row>
    <row r="18" spans="1:5" ht="18.5" customHeight="1" thickBot="1" x14ac:dyDescent="0.4">
      <c r="A18" s="305"/>
      <c r="B18" s="298" t="s">
        <v>213</v>
      </c>
      <c r="C18" s="305"/>
      <c r="D18" s="305"/>
      <c r="E18" s="305"/>
    </row>
    <row r="19" spans="1:5" ht="16" thickBot="1" x14ac:dyDescent="0.4">
      <c r="A19" s="300"/>
      <c r="B19" s="309" t="s">
        <v>217</v>
      </c>
      <c r="C19" s="321"/>
      <c r="D19" s="1499" t="s">
        <v>216</v>
      </c>
      <c r="E19" s="1500"/>
    </row>
    <row r="20" spans="1:5" ht="52" customHeight="1" thickBot="1" x14ac:dyDescent="0.4">
      <c r="B20" s="320" t="s">
        <v>172</v>
      </c>
      <c r="C20" s="365" t="e">
        <f>+'Band and Other Music'!#REF!</f>
        <v>#REF!</v>
      </c>
      <c r="D20" s="1501" t="s">
        <v>419</v>
      </c>
      <c r="E20" s="1502"/>
    </row>
    <row r="21" spans="1:5" ht="33" customHeight="1" thickBot="1" x14ac:dyDescent="0.4">
      <c r="B21" s="320" t="s">
        <v>101</v>
      </c>
      <c r="C21" s="365">
        <f>+'New Year-Full Year'!Q89</f>
        <v>17818</v>
      </c>
      <c r="D21" s="1501" t="s">
        <v>146</v>
      </c>
      <c r="E21" s="1502"/>
    </row>
    <row r="22" spans="1:5" ht="16" thickBot="1" x14ac:dyDescent="0.4">
      <c r="A22" s="306"/>
      <c r="B22" s="301"/>
      <c r="C22" s="322"/>
      <c r="D22" s="301"/>
    </row>
    <row r="23" spans="1:5" ht="16" thickBot="1" x14ac:dyDescent="0.4">
      <c r="A23" s="302"/>
      <c r="B23" s="309" t="s">
        <v>524</v>
      </c>
      <c r="C23" s="321"/>
      <c r="D23" s="310"/>
      <c r="E23" s="311"/>
    </row>
    <row r="24" spans="1:5" ht="16" thickBot="1" x14ac:dyDescent="0.4">
      <c r="A24" s="975"/>
      <c r="B24" s="307" t="s">
        <v>434</v>
      </c>
      <c r="C24" s="366">
        <f>+'Band and Other Music'!H24</f>
        <v>62</v>
      </c>
      <c r="D24" s="1497"/>
      <c r="E24" s="1498"/>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270</v>
      </c>
    </row>
    <row r="3" spans="2:7" ht="58" x14ac:dyDescent="0.35">
      <c r="C3" s="495" t="s">
        <v>280</v>
      </c>
      <c r="D3" s="495" t="s">
        <v>281</v>
      </c>
      <c r="E3" s="495"/>
      <c r="F3" s="496" t="s">
        <v>279</v>
      </c>
      <c r="G3" s="495" t="s">
        <v>277</v>
      </c>
    </row>
    <row r="4" spans="2:7" x14ac:dyDescent="0.35">
      <c r="B4">
        <v>2018</v>
      </c>
      <c r="C4" s="497">
        <f>52894+15868</f>
        <v>68762</v>
      </c>
      <c r="D4" s="497">
        <f>52894+15868</f>
        <v>68762</v>
      </c>
      <c r="E4" s="497" t="s">
        <v>273</v>
      </c>
      <c r="F4" s="501">
        <f>52894+15868</f>
        <v>68762</v>
      </c>
      <c r="G4" s="498">
        <f>+F4-D4</f>
        <v>0</v>
      </c>
    </row>
    <row r="6" spans="2:7" x14ac:dyDescent="0.35">
      <c r="B6" t="s">
        <v>271</v>
      </c>
      <c r="C6" s="498">
        <f>+ROUND(C4*(1+0.02),2)</f>
        <v>70137.240000000005</v>
      </c>
      <c r="D6" s="500">
        <v>71240</v>
      </c>
      <c r="E6" s="500" t="s">
        <v>274</v>
      </c>
      <c r="F6" s="501">
        <v>70137</v>
      </c>
      <c r="G6" s="498">
        <f>+F6-D6</f>
        <v>-1103</v>
      </c>
    </row>
    <row r="7" spans="2:7" x14ac:dyDescent="0.35">
      <c r="C7" s="499">
        <f>(+C6-C4)/C4</f>
        <v>2.0000000000000077E-2</v>
      </c>
      <c r="D7" s="499">
        <f>(+D6-D4)/D4</f>
        <v>3.6037346208661759E-2</v>
      </c>
      <c r="E7" s="499"/>
    </row>
    <row r="8" spans="2:7" x14ac:dyDescent="0.35">
      <c r="C8" s="499"/>
      <c r="D8" s="499"/>
      <c r="E8" s="499"/>
    </row>
    <row r="9" spans="2:7" x14ac:dyDescent="0.35">
      <c r="B9" t="s">
        <v>272</v>
      </c>
      <c r="C9" s="498">
        <f>+ROUND(C6*(1+0.02),2)</f>
        <v>71539.98</v>
      </c>
      <c r="D9" s="500">
        <v>73783</v>
      </c>
      <c r="E9" s="500" t="s">
        <v>275</v>
      </c>
      <c r="F9" s="501">
        <v>71540</v>
      </c>
      <c r="G9" s="498">
        <f>+F9-D9</f>
        <v>-2243</v>
      </c>
    </row>
    <row r="10" spans="2:7" x14ac:dyDescent="0.35">
      <c r="C10" s="499">
        <f>(+C9-C6)/C6</f>
        <v>1.9999931562747417E-2</v>
      </c>
      <c r="D10" s="499">
        <f>(+D9-D6)/D6</f>
        <v>3.5696238068500842E-2</v>
      </c>
      <c r="E10" s="499"/>
    </row>
    <row r="11" spans="2:7" x14ac:dyDescent="0.35">
      <c r="C11" s="498"/>
      <c r="D11" s="498"/>
      <c r="E11" s="498"/>
    </row>
    <row r="12" spans="2:7" x14ac:dyDescent="0.35">
      <c r="B12" t="s">
        <v>278</v>
      </c>
      <c r="C12" s="498">
        <f>+ROUND(C9*(1+0.01),2)</f>
        <v>72255.38</v>
      </c>
      <c r="D12" s="500">
        <v>75618</v>
      </c>
      <c r="E12" s="500" t="s">
        <v>276</v>
      </c>
      <c r="F12" s="502">
        <f>+F9*(1+0.01)</f>
        <v>72255.399999999994</v>
      </c>
      <c r="G12" s="502">
        <f>+D12-F9</f>
        <v>4078</v>
      </c>
    </row>
    <row r="13" spans="2:7" x14ac:dyDescent="0.35">
      <c r="C13" s="499">
        <f>(+C12-C9)/C9</f>
        <v>1.0000002795639708E-2</v>
      </c>
      <c r="D13" s="499">
        <f>(+D12-D9)/D9</f>
        <v>2.4870227559193853E-2</v>
      </c>
      <c r="E13" s="499"/>
      <c r="F13" s="499">
        <f>(+F12-F9)/F9</f>
        <v>9.9999999999999187E-3</v>
      </c>
      <c r="G13" s="499">
        <f>+G12/F9</f>
        <v>5.7003075202683814E-2</v>
      </c>
    </row>
    <row r="16" spans="2:7" x14ac:dyDescent="0.35">
      <c r="D16" s="498"/>
      <c r="F16" s="503">
        <f>2000/F9</f>
        <v>2.7956388034665922E-2</v>
      </c>
    </row>
    <row r="17" spans="4:4" x14ac:dyDescent="0.35">
      <c r="D17" s="498"/>
    </row>
  </sheetData>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436" t="s">
        <v>525</v>
      </c>
      <c r="B1" s="1436"/>
    </row>
    <row r="2" spans="1:5" x14ac:dyDescent="0.35">
      <c r="B2" s="980"/>
    </row>
    <row r="3" spans="1:5" ht="43.5" customHeight="1" x14ac:dyDescent="0.35">
      <c r="A3" s="761"/>
      <c r="B3" s="986" t="s">
        <v>282</v>
      </c>
    </row>
    <row r="4" spans="1:5" ht="14.5" customHeight="1" x14ac:dyDescent="0.35">
      <c r="A4" s="979" t="s">
        <v>142</v>
      </c>
      <c r="B4" s="984">
        <v>71175</v>
      </c>
      <c r="D4" s="109" t="s">
        <v>537</v>
      </c>
    </row>
    <row r="5" spans="1:5" hidden="1" x14ac:dyDescent="0.35">
      <c r="A5" s="146" t="s">
        <v>421</v>
      </c>
      <c r="B5" s="699">
        <v>7.6499999999999999E-2</v>
      </c>
    </row>
    <row r="6" spans="1:5" x14ac:dyDescent="0.35">
      <c r="A6" s="146" t="s">
        <v>232</v>
      </c>
      <c r="B6" s="106">
        <f>ROUND(+B4*B5,0)</f>
        <v>5445</v>
      </c>
    </row>
    <row r="7" spans="1:5" x14ac:dyDescent="0.35">
      <c r="A7" s="981" t="s">
        <v>144</v>
      </c>
      <c r="B7" s="985">
        <f>+B4+B6</f>
        <v>76620</v>
      </c>
    </row>
    <row r="8" spans="1:5" x14ac:dyDescent="0.35">
      <c r="A8" s="146" t="s">
        <v>234</v>
      </c>
      <c r="B8" s="125">
        <f>800*12</f>
        <v>9600</v>
      </c>
    </row>
    <row r="9" spans="1:5" x14ac:dyDescent="0.35">
      <c r="A9" s="982" t="s">
        <v>127</v>
      </c>
      <c r="B9" s="125">
        <f>+E14</f>
        <v>7662</v>
      </c>
      <c r="D9" s="174" t="s">
        <v>406</v>
      </c>
      <c r="E9" s="551">
        <v>0.1</v>
      </c>
    </row>
    <row r="10" spans="1:5" x14ac:dyDescent="0.35">
      <c r="A10" s="982" t="s">
        <v>526</v>
      </c>
      <c r="B10" s="125">
        <f>+E25</f>
        <v>1686</v>
      </c>
      <c r="D10" s="153" t="s">
        <v>152</v>
      </c>
      <c r="E10" s="112">
        <f>+B7</f>
        <v>76620</v>
      </c>
    </row>
    <row r="11" spans="1:5" x14ac:dyDescent="0.35">
      <c r="A11" s="982" t="s">
        <v>527</v>
      </c>
      <c r="B11" s="128">
        <v>1500</v>
      </c>
      <c r="D11" s="153" t="s">
        <v>127</v>
      </c>
      <c r="E11" s="112">
        <f>ROUND(+E10*E9,0)</f>
        <v>7662</v>
      </c>
    </row>
    <row r="12" spans="1:5" x14ac:dyDescent="0.35">
      <c r="A12" s="982" t="s">
        <v>528</v>
      </c>
      <c r="B12" s="128">
        <v>1300</v>
      </c>
      <c r="D12" s="153" t="s">
        <v>154</v>
      </c>
      <c r="E12" s="553">
        <f>+E11/E10</f>
        <v>0.1</v>
      </c>
    </row>
    <row r="13" spans="1:5" x14ac:dyDescent="0.35">
      <c r="A13" s="982" t="s">
        <v>529</v>
      </c>
      <c r="B13" s="128">
        <v>600</v>
      </c>
      <c r="D13" s="153" t="s">
        <v>241</v>
      </c>
      <c r="E13" s="554">
        <v>0.1</v>
      </c>
    </row>
    <row r="14" spans="1:5" x14ac:dyDescent="0.35">
      <c r="A14" s="983" t="s">
        <v>530</v>
      </c>
      <c r="B14" s="131">
        <f>SUM(B7:B13)</f>
        <v>98968</v>
      </c>
      <c r="D14" s="168" t="s">
        <v>151</v>
      </c>
      <c r="E14" s="119">
        <f>ROUND(+B7*E13,0)</f>
        <v>7662</v>
      </c>
    </row>
    <row r="15" spans="1:5" x14ac:dyDescent="0.35">
      <c r="A15" s="173"/>
      <c r="B15" s="173"/>
    </row>
    <row r="16" spans="1:5" ht="14.5" customHeight="1" x14ac:dyDescent="0.35">
      <c r="A16" s="761" t="s">
        <v>531</v>
      </c>
      <c r="B16" s="717"/>
      <c r="D16" s="174" t="s">
        <v>153</v>
      </c>
      <c r="E16" s="111"/>
    </row>
    <row r="17" spans="1:5" ht="29" customHeight="1" x14ac:dyDescent="0.35">
      <c r="A17" s="1507" t="s">
        <v>533</v>
      </c>
      <c r="B17" s="1507"/>
      <c r="D17" s="153" t="s">
        <v>407</v>
      </c>
      <c r="E17" s="362">
        <v>1.4999999999999999E-2</v>
      </c>
    </row>
    <row r="18" spans="1:5" x14ac:dyDescent="0.35">
      <c r="A18" s="717" t="s">
        <v>532</v>
      </c>
      <c r="D18" s="153" t="s">
        <v>408</v>
      </c>
      <c r="E18" s="362">
        <v>7.0000000000000001E-3</v>
      </c>
    </row>
    <row r="19" spans="1:5" hidden="1" x14ac:dyDescent="0.35">
      <c r="D19" s="153" t="s">
        <v>129</v>
      </c>
      <c r="E19" s="362">
        <v>0</v>
      </c>
    </row>
    <row r="20" spans="1:5" x14ac:dyDescent="0.35">
      <c r="A20" s="109" t="s">
        <v>534</v>
      </c>
      <c r="D20" s="153" t="s">
        <v>409</v>
      </c>
      <c r="E20" s="363">
        <f>+E17+E18+E19</f>
        <v>2.1999999999999999E-2</v>
      </c>
    </row>
    <row r="21" spans="1:5" ht="14.5" customHeight="1" x14ac:dyDescent="0.35">
      <c r="A21" s="1506" t="s">
        <v>535</v>
      </c>
      <c r="B21" s="1506"/>
      <c r="D21" s="153" t="s">
        <v>152</v>
      </c>
      <c r="E21" s="112">
        <f>+B7</f>
        <v>76620</v>
      </c>
    </row>
    <row r="22" spans="1:5" ht="43.5" hidden="1" customHeight="1" x14ac:dyDescent="0.35">
      <c r="A22" s="1506"/>
      <c r="B22" s="1506"/>
      <c r="D22" s="189" t="s">
        <v>158</v>
      </c>
      <c r="E22" s="192">
        <v>0</v>
      </c>
    </row>
    <row r="23" spans="1:5" ht="29" hidden="1" customHeight="1" x14ac:dyDescent="0.35">
      <c r="A23" s="1506"/>
      <c r="B23" s="1506"/>
      <c r="D23" s="189" t="s">
        <v>157</v>
      </c>
      <c r="E23" s="112"/>
    </row>
    <row r="24" spans="1:5" ht="14.5" hidden="1" customHeight="1" x14ac:dyDescent="0.35">
      <c r="A24" s="1506"/>
      <c r="B24" s="1506"/>
      <c r="D24" s="123" t="s">
        <v>156</v>
      </c>
      <c r="E24" s="112">
        <f>SUM(E21:E23)</f>
        <v>76620</v>
      </c>
    </row>
    <row r="25" spans="1:5" x14ac:dyDescent="0.35">
      <c r="A25" s="1506"/>
      <c r="B25" s="1506"/>
      <c r="D25" s="129" t="s">
        <v>155</v>
      </c>
      <c r="E25" s="119">
        <f>ROUND(+E24*E20,0)</f>
        <v>1686</v>
      </c>
    </row>
    <row r="26" spans="1:5" x14ac:dyDescent="0.35">
      <c r="A26" s="1506"/>
      <c r="B26" s="1506"/>
    </row>
    <row r="27" spans="1:5" x14ac:dyDescent="0.35">
      <c r="A27" s="109" t="s">
        <v>536</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337" t="s">
        <v>80</v>
      </c>
      <c r="C1" s="1337"/>
      <c r="D1" s="1337"/>
      <c r="E1" s="1337"/>
      <c r="F1" s="1337"/>
      <c r="G1" s="1337"/>
      <c r="H1" s="1337"/>
      <c r="I1" s="1337"/>
      <c r="J1" s="1337"/>
      <c r="K1" s="1337"/>
      <c r="L1" s="1337"/>
    </row>
    <row r="2" spans="1:12" ht="8.25" customHeight="1" x14ac:dyDescent="0.35">
      <c r="B2" s="1338"/>
      <c r="C2" s="1338"/>
      <c r="D2" s="1338"/>
      <c r="E2" s="1338"/>
      <c r="F2" s="1338"/>
      <c r="G2" s="1338"/>
      <c r="H2" s="1338"/>
      <c r="I2" s="1338"/>
      <c r="J2" s="1338"/>
      <c r="K2" s="1338"/>
      <c r="L2" s="1338"/>
    </row>
    <row r="3" spans="1:12" ht="18" customHeight="1" x14ac:dyDescent="0.35">
      <c r="E3" s="1342" t="s">
        <v>79</v>
      </c>
      <c r="F3" s="1343"/>
      <c r="G3" s="1343"/>
      <c r="H3" s="1344"/>
      <c r="J3" s="1339" t="str">
        <f>+'New Year-Full Year'!V2</f>
        <v>2024 Year to Date (YTD)</v>
      </c>
      <c r="K3" s="1340"/>
      <c r="L3" s="1341"/>
    </row>
    <row r="4" spans="1:12" ht="25.5" customHeight="1" x14ac:dyDescent="0.35">
      <c r="E4" s="1350" t="str">
        <f>+'New Year-Full Year'!Q3</f>
        <v>2025 Budget</v>
      </c>
      <c r="F4" s="1348" t="str">
        <f>+'New Year-Full Year'!R3</f>
        <v>2024 Budget</v>
      </c>
      <c r="G4" s="1346" t="str">
        <f>Bud_Yr&amp;" Budget vs "&amp;Bud_Yr-1&amp;" Budget"</f>
        <v>2025 Budget vs 2024 Budget</v>
      </c>
      <c r="H4" s="1347"/>
      <c r="J4" s="1350" t="str">
        <f>+'New Year-Full Year'!V3</f>
        <v>August 2024 YTD Actual</v>
      </c>
      <c r="K4" s="1348" t="str">
        <f>+'New Year-Full Year'!W3</f>
        <v>August 2024 YTD Budget</v>
      </c>
      <c r="L4" s="1352" t="s">
        <v>78</v>
      </c>
    </row>
    <row r="5" spans="1:12" s="2" customFormat="1" x14ac:dyDescent="0.35">
      <c r="A5" s="41"/>
      <c r="E5" s="1351"/>
      <c r="F5" s="1349"/>
      <c r="G5" s="468" t="s">
        <v>104</v>
      </c>
      <c r="H5" s="47" t="s">
        <v>105</v>
      </c>
      <c r="J5" s="1351"/>
      <c r="K5" s="1349"/>
      <c r="L5" s="1353"/>
    </row>
    <row r="6" spans="1:12" s="2" customFormat="1" ht="19.5" customHeight="1" x14ac:dyDescent="0.35">
      <c r="A6" s="41"/>
      <c r="B6" s="5" t="s">
        <v>0</v>
      </c>
      <c r="E6" s="6"/>
      <c r="F6" s="37"/>
      <c r="G6" s="37"/>
      <c r="H6" s="37"/>
      <c r="J6" s="37"/>
      <c r="K6" s="37"/>
      <c r="L6" s="37"/>
    </row>
    <row r="7" spans="1:12" ht="19.5" customHeight="1" x14ac:dyDescent="0.35">
      <c r="A7" s="40">
        <v>1</v>
      </c>
      <c r="B7" s="772" t="str">
        <f>+'New Year-Full Year'!B6</f>
        <v>Envelope Giving</v>
      </c>
    </row>
    <row r="8" spans="1:12" x14ac:dyDescent="0.35">
      <c r="A8" s="40">
        <v>2</v>
      </c>
      <c r="C8" s="1" t="str">
        <f>+'New Year-Full Year'!C7</f>
        <v>Envelope Giving (general)</v>
      </c>
      <c r="E8" s="35">
        <f>+'New Year-Full Year'!Q7</f>
        <v>450000</v>
      </c>
      <c r="F8" s="35">
        <f>+'New Year-Full Year'!R7</f>
        <v>400000</v>
      </c>
      <c r="G8" s="35">
        <f t="shared" ref="G8:G12" si="0">+E8-F8</f>
        <v>50000</v>
      </c>
      <c r="H8" s="3">
        <f t="shared" ref="H8:H13" si="1">IF(F8=0,"NA",(+E8-F8)/F8)</f>
        <v>0.125</v>
      </c>
      <c r="J8" s="35">
        <f>+'New Year-Full Year'!V7</f>
        <v>318221.46999999997</v>
      </c>
      <c r="K8" s="35">
        <f>+'New Year-Full Year'!W7</f>
        <v>286555.7</v>
      </c>
      <c r="L8" s="3">
        <f t="shared" ref="L8:L13" si="2">IF(K8=0,"NA",(+J8-K8)/K8)</f>
        <v>0.11050476399527198</v>
      </c>
    </row>
    <row r="9" spans="1:12" x14ac:dyDescent="0.35">
      <c r="A9" s="40">
        <v>4</v>
      </c>
      <c r="C9" s="1" t="str">
        <f>+'New Year-Full Year'!C8</f>
        <v>Easter Offerings</v>
      </c>
      <c r="E9" s="35">
        <f>+'New Year-Full Year'!Q8</f>
        <v>4000</v>
      </c>
      <c r="F9" s="35">
        <f>+'New Year-Full Year'!R8</f>
        <v>3000</v>
      </c>
      <c r="G9" s="35">
        <f t="shared" si="0"/>
        <v>1000</v>
      </c>
      <c r="H9" s="3">
        <f t="shared" si="1"/>
        <v>0.33333333333333331</v>
      </c>
      <c r="J9" s="35">
        <f>+'New Year-Full Year'!V8</f>
        <v>3875</v>
      </c>
      <c r="K9" s="35">
        <f>+'New Year-Full Year'!W8</f>
        <v>3000</v>
      </c>
      <c r="L9" s="3">
        <f t="shared" si="2"/>
        <v>0.29166666666666669</v>
      </c>
    </row>
    <row r="10" spans="1:12" x14ac:dyDescent="0.35">
      <c r="A10" s="40">
        <v>5</v>
      </c>
      <c r="C10" s="1" t="str">
        <f>+'New Year-Full Year'!C9</f>
        <v>Thanksgiving Offerings</v>
      </c>
      <c r="E10" s="35">
        <f>+'New Year-Full Year'!Q9</f>
        <v>1000</v>
      </c>
      <c r="F10" s="35">
        <f>+'New Year-Full Year'!R9</f>
        <v>500</v>
      </c>
      <c r="G10" s="35">
        <f t="shared" si="0"/>
        <v>500</v>
      </c>
      <c r="H10" s="3">
        <f t="shared" si="1"/>
        <v>1</v>
      </c>
      <c r="J10" s="35">
        <f>+'New Year-Full Year'!V9</f>
        <v>0</v>
      </c>
      <c r="K10" s="35">
        <f>+'New Year-Full Year'!W9</f>
        <v>0</v>
      </c>
      <c r="L10" s="3" t="str">
        <f t="shared" si="2"/>
        <v>NA</v>
      </c>
    </row>
    <row r="11" spans="1:12" x14ac:dyDescent="0.35">
      <c r="A11" s="40">
        <v>6</v>
      </c>
      <c r="C11" s="1" t="str">
        <f>+'New Year-Full Year'!C10</f>
        <v>Christmas Offerings</v>
      </c>
      <c r="E11" s="35">
        <f>+'New Year-Full Year'!Q10</f>
        <v>6000</v>
      </c>
      <c r="F11" s="35">
        <f>+'New Year-Full Year'!R10</f>
        <v>5000</v>
      </c>
      <c r="G11" s="35">
        <f t="shared" si="0"/>
        <v>1000</v>
      </c>
      <c r="H11" s="3">
        <f t="shared" si="1"/>
        <v>0.2</v>
      </c>
      <c r="J11" s="35">
        <f>+'New Year-Full Year'!V10</f>
        <v>0</v>
      </c>
      <c r="K11" s="35">
        <f>+'New Year-Full Year'!W10</f>
        <v>0</v>
      </c>
      <c r="L11" s="3" t="str">
        <f t="shared" si="2"/>
        <v>NA</v>
      </c>
    </row>
    <row r="12" spans="1:12" x14ac:dyDescent="0.35">
      <c r="A12" s="40">
        <v>7</v>
      </c>
      <c r="C12" s="1" t="str">
        <f>+'New Year-Full Year'!C11</f>
        <v>Lenten Offerings</v>
      </c>
      <c r="E12" s="35">
        <f>+'New Year-Full Year'!Q11</f>
        <v>2500</v>
      </c>
      <c r="F12" s="35">
        <f>+'New Year-Full Year'!R11</f>
        <v>1500</v>
      </c>
      <c r="G12" s="35">
        <f t="shared" si="0"/>
        <v>1000</v>
      </c>
      <c r="H12" s="3">
        <f t="shared" si="1"/>
        <v>0.66666666666666663</v>
      </c>
      <c r="J12" s="35">
        <f>+'New Year-Full Year'!V11</f>
        <v>2568</v>
      </c>
      <c r="K12" s="35">
        <f>+'New Year-Full Year'!W11</f>
        <v>1500</v>
      </c>
      <c r="L12" s="3">
        <f t="shared" si="2"/>
        <v>0.71199999999999997</v>
      </c>
    </row>
    <row r="13" spans="1:12" x14ac:dyDescent="0.35">
      <c r="A13" s="40">
        <v>8</v>
      </c>
      <c r="B13" s="8" t="str">
        <f>+'New Year-Full Year'!B12</f>
        <v>Total Envelope Giving</v>
      </c>
      <c r="C13" s="8"/>
      <c r="D13" s="8"/>
      <c r="E13" s="8">
        <f>SUM(E8:E12)</f>
        <v>463500</v>
      </c>
      <c r="F13" s="8">
        <f>SUM(F8:F12)</f>
        <v>410000</v>
      </c>
      <c r="G13" s="8">
        <f>SUM(G8:G12)</f>
        <v>53500</v>
      </c>
      <c r="H13" s="9">
        <f t="shared" si="1"/>
        <v>0.13048780487804879</v>
      </c>
      <c r="J13" s="8">
        <f>SUM(J8:J12)</f>
        <v>324664.46999999997</v>
      </c>
      <c r="K13" s="8">
        <f>SUM(K8:K12)</f>
        <v>291055.7</v>
      </c>
      <c r="L13" s="9">
        <f t="shared" si="2"/>
        <v>0.11547195261937822</v>
      </c>
    </row>
    <row r="14" spans="1:12" ht="19.5" customHeight="1" x14ac:dyDescent="0.35">
      <c r="A14" s="40">
        <v>10</v>
      </c>
      <c r="B14" s="772"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4" t="str">
        <f>+'New Year-Full Year'!C17</f>
        <v xml:space="preserve">Greater Milwaukee Synod </v>
      </c>
      <c r="E21" s="35">
        <f>+'New Year-Full Year'!Q17</f>
        <v>10000</v>
      </c>
      <c r="F21" s="35">
        <f>+'New Year-Full Year'!R17</f>
        <v>17150</v>
      </c>
      <c r="G21" s="35">
        <f>+E21-F21</f>
        <v>-7150</v>
      </c>
      <c r="H21" s="3">
        <f>IF(F21=0,"NA",(+E21-F21)/F21)</f>
        <v>-0.41690962099125367</v>
      </c>
      <c r="J21" s="35">
        <f>+'New Year-Full Year'!V17</f>
        <v>8575</v>
      </c>
      <c r="K21" s="35">
        <f>+'New Year-Full Year'!W17</f>
        <v>8575</v>
      </c>
      <c r="L21" s="3">
        <f>IF(K21=0,"NA",(+J21-K21)/K21)</f>
        <v>0</v>
      </c>
    </row>
    <row r="22" spans="1:12" ht="14.5" hidden="1" customHeight="1" x14ac:dyDescent="0.35">
      <c r="A22" s="5"/>
      <c r="B22" s="1"/>
      <c r="C22" s="334"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4" t="str">
        <f>+'New Year-Full Year'!C18</f>
        <v>Lutherdale Bible Camp</v>
      </c>
      <c r="E23" s="35">
        <f>+'New Year-Full Year'!Q18</f>
        <v>500</v>
      </c>
      <c r="F23" s="35">
        <f>+'New Year-Full Year'!R18</f>
        <v>500</v>
      </c>
      <c r="G23" s="35">
        <f t="shared" si="3"/>
        <v>0</v>
      </c>
      <c r="H23" s="3">
        <f t="shared" si="4"/>
        <v>0</v>
      </c>
      <c r="J23" s="35">
        <f>+'New Year-Full Year'!V18</f>
        <v>251</v>
      </c>
      <c r="K23" s="35">
        <f>+'New Year-Full Year'!W18</f>
        <v>250</v>
      </c>
      <c r="L23" s="3">
        <f t="shared" si="5"/>
        <v>4.0000000000000001E-3</v>
      </c>
    </row>
    <row r="24" spans="1:12" ht="14.5" customHeight="1" x14ac:dyDescent="0.35">
      <c r="A24" s="5"/>
      <c r="B24" s="1"/>
      <c r="C24" s="334" t="str">
        <f>+'New Year-Full Year'!C19</f>
        <v>Racine Cluster (Living Faith Meal)</v>
      </c>
      <c r="E24" s="35">
        <f>+'New Year-Full Year'!Q19</f>
        <v>1500</v>
      </c>
      <c r="F24" s="35">
        <f>+'New Year-Full Year'!R19</f>
        <v>1500</v>
      </c>
      <c r="G24" s="35">
        <f t="shared" si="3"/>
        <v>0</v>
      </c>
      <c r="H24" s="3">
        <f t="shared" si="4"/>
        <v>0</v>
      </c>
      <c r="J24" s="35">
        <f>+'New Year-Full Year'!V19</f>
        <v>750</v>
      </c>
      <c r="K24" s="35">
        <f>+'New Year-Full Year'!W19</f>
        <v>750</v>
      </c>
      <c r="L24" s="3">
        <f t="shared" si="5"/>
        <v>0</v>
      </c>
    </row>
    <row r="25" spans="1:12" ht="14.5" customHeight="1" x14ac:dyDescent="0.35">
      <c r="A25" s="5"/>
      <c r="B25" s="1"/>
      <c r="C25" s="334" t="str">
        <f>+'New Year-Full Year'!C20</f>
        <v>Racine Interfaith Coalition</v>
      </c>
      <c r="E25" s="35">
        <f>+'New Year-Full Year'!Q20</f>
        <v>750</v>
      </c>
      <c r="F25" s="35">
        <f>+'New Year-Full Year'!R20</f>
        <v>750</v>
      </c>
      <c r="G25" s="35">
        <f t="shared" si="3"/>
        <v>0</v>
      </c>
      <c r="H25" s="3">
        <f t="shared" si="4"/>
        <v>0</v>
      </c>
      <c r="J25" s="35">
        <f>+'New Year-Full Year'!V20</f>
        <v>375</v>
      </c>
      <c r="K25" s="35">
        <f>+'New Year-Full Year'!W20</f>
        <v>375</v>
      </c>
      <c r="L25" s="3">
        <f t="shared" si="5"/>
        <v>0</v>
      </c>
    </row>
    <row r="26" spans="1:12" ht="14.5" customHeight="1" x14ac:dyDescent="0.35">
      <c r="A26" s="5"/>
      <c r="B26" s="1"/>
      <c r="C26" s="334" t="str">
        <f>+'New Year-Full Year'!C21</f>
        <v>Good Samaritan</v>
      </c>
      <c r="E26" s="35">
        <f>+'New Year-Full Year'!Q21</f>
        <v>500</v>
      </c>
      <c r="F26" s="35">
        <f>+'New Year-Full Year'!R21</f>
        <v>1000</v>
      </c>
      <c r="G26" s="35">
        <f t="shared" si="3"/>
        <v>-500</v>
      </c>
      <c r="H26" s="3">
        <f t="shared" si="4"/>
        <v>-0.5</v>
      </c>
      <c r="J26" s="35">
        <f>+'New Year-Full Year'!V21</f>
        <v>500</v>
      </c>
      <c r="K26" s="35">
        <f>+'New Year-Full Year'!W21</f>
        <v>500</v>
      </c>
      <c r="L26" s="3">
        <f t="shared" si="5"/>
        <v>0</v>
      </c>
    </row>
    <row r="27" spans="1:12" ht="14.5" customHeight="1" x14ac:dyDescent="0.35">
      <c r="A27" s="5"/>
      <c r="B27" s="1"/>
      <c r="C27" s="334" t="str">
        <f>+'New Year-Full Year'!C25</f>
        <v>HALO</v>
      </c>
      <c r="E27" s="35">
        <f>+'New Year-Full Year'!Q25</f>
        <v>1000</v>
      </c>
      <c r="F27" s="35">
        <f>+'New Year-Full Year'!R25</f>
        <v>1000</v>
      </c>
      <c r="G27" s="35">
        <f t="shared" si="3"/>
        <v>0</v>
      </c>
      <c r="H27" s="3">
        <f t="shared" si="4"/>
        <v>0</v>
      </c>
      <c r="J27" s="35">
        <f>+'New Year-Full Year'!V25</f>
        <v>500</v>
      </c>
      <c r="K27" s="35">
        <f>+'New Year-Full Year'!W25</f>
        <v>500</v>
      </c>
      <c r="L27" s="3">
        <f t="shared" si="5"/>
        <v>0</v>
      </c>
    </row>
    <row r="28" spans="1:12" ht="14.5" customHeight="1" x14ac:dyDescent="0.35">
      <c r="A28" s="5"/>
      <c r="B28" s="1"/>
      <c r="C28" s="334" t="str">
        <f>+'New Year-Full Year'!C26</f>
        <v>Veterans Tiny Homes</v>
      </c>
      <c r="E28" s="35">
        <f>+'New Year-Full Year'!Q26</f>
        <v>1000</v>
      </c>
      <c r="F28" s="35">
        <f>+'New Year-Full Year'!R26</f>
        <v>1000</v>
      </c>
      <c r="G28" s="35">
        <f t="shared" si="3"/>
        <v>0</v>
      </c>
      <c r="H28" s="3">
        <f t="shared" si="4"/>
        <v>0</v>
      </c>
      <c r="J28" s="35">
        <f>+'New Year-Full Year'!V26</f>
        <v>500</v>
      </c>
      <c r="K28" s="35">
        <f>+'New Year-Full Year'!W26</f>
        <v>500</v>
      </c>
      <c r="L28" s="3">
        <f t="shared" si="5"/>
        <v>0</v>
      </c>
    </row>
    <row r="29" spans="1:12" ht="14.5" customHeight="1" x14ac:dyDescent="0.35">
      <c r="A29" s="5"/>
      <c r="B29" s="1"/>
      <c r="C29" s="334" t="str">
        <f>+'New Year-Full Year'!C27</f>
        <v>Hospitality Center</v>
      </c>
      <c r="E29" s="35">
        <f>+'New Year-Full Year'!Q27</f>
        <v>1000</v>
      </c>
      <c r="F29" s="35">
        <f>+'New Year-Full Year'!R27</f>
        <v>1000</v>
      </c>
      <c r="G29" s="35">
        <f t="shared" si="3"/>
        <v>0</v>
      </c>
      <c r="H29" s="3">
        <f t="shared" si="4"/>
        <v>0</v>
      </c>
      <c r="J29" s="35">
        <f>+'New Year-Full Year'!V27</f>
        <v>500</v>
      </c>
      <c r="K29" s="35">
        <f>+'New Year-Full Year'!W27</f>
        <v>500</v>
      </c>
      <c r="L29" s="3">
        <f t="shared" si="5"/>
        <v>0</v>
      </c>
    </row>
    <row r="30" spans="1:12" s="2" customFormat="1" x14ac:dyDescent="0.35">
      <c r="A30" s="40">
        <v>26</v>
      </c>
      <c r="B30" s="10"/>
      <c r="C30" s="10" t="str">
        <f>+'New Year-Full Year'!C28</f>
        <v>3.9% Benevolence Budget                    3.6%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4"/>
      <c r="F31" s="784"/>
      <c r="G31" s="15"/>
      <c r="H31" s="16"/>
      <c r="I31" s="13"/>
      <c r="J31" s="784"/>
      <c r="K31" s="784"/>
      <c r="L31" s="16"/>
    </row>
    <row r="32" spans="1:12" ht="19.5" customHeight="1" x14ac:dyDescent="0.35">
      <c r="A32" s="40">
        <v>29</v>
      </c>
      <c r="B32" s="1345" t="str">
        <f>+'New Year-Full Year'!B30</f>
        <v>Parish Ed</v>
      </c>
      <c r="C32" s="1345"/>
      <c r="D32" s="1345"/>
      <c r="H32" s="36"/>
    </row>
    <row r="33" spans="1:12" x14ac:dyDescent="0.35">
      <c r="A33" s="40">
        <v>30</v>
      </c>
      <c r="C33" s="1" t="str">
        <f>+'New Year-Full Year'!C31</f>
        <v>Sunday School</v>
      </c>
      <c r="E33" s="35">
        <f>+'New Year-Full Year'!Q31</f>
        <v>1000</v>
      </c>
      <c r="F33" s="35">
        <f>+'New Year-Full Year'!R31</f>
        <v>1250</v>
      </c>
      <c r="G33" s="35">
        <f t="shared" ref="G33:G38" si="6">+E33-F33</f>
        <v>-250</v>
      </c>
      <c r="H33" s="3">
        <f t="shared" ref="H33:H39" si="7">IF(F33=0,"NA",(+E33-F33)/F33)</f>
        <v>-0.2</v>
      </c>
      <c r="J33" s="35">
        <f>+'New Year-Full Year'!V31</f>
        <v>429.57</v>
      </c>
      <c r="K33" s="35">
        <f>+'New Year-Full Year'!W31</f>
        <v>694.44</v>
      </c>
      <c r="L33" s="3">
        <f t="shared" ref="L33:L39" si="8">IF(K33=0,"NA",(+J33-K33)/K33)</f>
        <v>-0.38141524105754282</v>
      </c>
    </row>
    <row r="34" spans="1:12" x14ac:dyDescent="0.35">
      <c r="A34" s="40">
        <v>31</v>
      </c>
      <c r="C34" s="1" t="str">
        <f>+'New Year-Full Year'!C32</f>
        <v>Confirmation</v>
      </c>
      <c r="E34" s="35">
        <f>+'New Year-Full Year'!Q32</f>
        <v>500</v>
      </c>
      <c r="F34" s="35">
        <f>+'New Year-Full Year'!R32</f>
        <v>750</v>
      </c>
      <c r="G34" s="35">
        <f t="shared" si="6"/>
        <v>-250</v>
      </c>
      <c r="H34" s="3">
        <f t="shared" si="7"/>
        <v>-0.33333333333333331</v>
      </c>
      <c r="J34" s="35">
        <f>+'New Year-Full Year'!V32</f>
        <v>141.11000000000001</v>
      </c>
      <c r="K34" s="35">
        <f>+'New Year-Full Year'!W32</f>
        <v>750</v>
      </c>
      <c r="L34" s="3">
        <f t="shared" si="8"/>
        <v>-0.81185333333333332</v>
      </c>
    </row>
    <row r="35" spans="1:12" x14ac:dyDescent="0.35">
      <c r="A35" s="40">
        <v>32</v>
      </c>
      <c r="C35" s="1" t="str">
        <f>+'New Year-Full Year'!C33</f>
        <v>Neighborhood Camp</v>
      </c>
      <c r="E35" s="35">
        <f>+'New Year-Full Year'!Q33</f>
        <v>0</v>
      </c>
      <c r="F35" s="35">
        <f>+'New Year-Full Year'!R33</f>
        <v>250</v>
      </c>
      <c r="G35" s="35">
        <f t="shared" si="6"/>
        <v>-250</v>
      </c>
      <c r="H35" s="3">
        <f t="shared" si="7"/>
        <v>-1</v>
      </c>
      <c r="J35" s="35">
        <f>+'New Year-Full Year'!V33</f>
        <v>69.27</v>
      </c>
      <c r="K35" s="35">
        <f>+'New Year-Full Year'!W33</f>
        <v>250</v>
      </c>
      <c r="L35" s="3">
        <f t="shared" si="8"/>
        <v>-0.72292000000000012</v>
      </c>
    </row>
    <row r="36" spans="1:12" x14ac:dyDescent="0.35">
      <c r="A36" s="40">
        <v>33</v>
      </c>
      <c r="C36" s="1" t="str">
        <f>+'New Year-Full Year'!C34</f>
        <v>Library</v>
      </c>
      <c r="E36" s="35">
        <f>+'New Year-Full Year'!Q34</f>
        <v>300</v>
      </c>
      <c r="F36" s="35">
        <f>+'New Year-Full Year'!R34</f>
        <v>300</v>
      </c>
      <c r="G36" s="35">
        <f t="shared" si="6"/>
        <v>0</v>
      </c>
      <c r="H36" s="3">
        <f t="shared" si="7"/>
        <v>0</v>
      </c>
      <c r="J36" s="35">
        <f>+'New Year-Full Year'!V34</f>
        <v>0</v>
      </c>
      <c r="K36" s="35">
        <f>+'New Year-Full Year'!W34</f>
        <v>0</v>
      </c>
      <c r="L36" s="3" t="str">
        <f t="shared" si="8"/>
        <v>NA</v>
      </c>
    </row>
    <row r="37" spans="1:12" x14ac:dyDescent="0.35">
      <c r="A37" s="40">
        <v>34</v>
      </c>
      <c r="C37" s="1" t="str">
        <f>+'New Year-Full Year'!C35</f>
        <v>Communion Education</v>
      </c>
      <c r="E37" s="35">
        <f>+'New Year-Full Year'!Q35</f>
        <v>0</v>
      </c>
      <c r="F37" s="35">
        <f>+'New Year-Full Year'!R35</f>
        <v>200</v>
      </c>
      <c r="G37" s="35">
        <f t="shared" si="6"/>
        <v>-200</v>
      </c>
      <c r="H37" s="3">
        <f t="shared" si="7"/>
        <v>-1</v>
      </c>
      <c r="J37" s="35">
        <f>+'New Year-Full Year'!V35</f>
        <v>0</v>
      </c>
      <c r="K37" s="35">
        <f>+'New Year-Full Year'!W35</f>
        <v>200</v>
      </c>
      <c r="L37" s="3">
        <f t="shared" si="8"/>
        <v>-1</v>
      </c>
    </row>
    <row r="38" spans="1:12" x14ac:dyDescent="0.35">
      <c r="C38" s="1" t="str">
        <f>+'New Year-Full Year'!C36</f>
        <v>Adult Education</v>
      </c>
      <c r="E38" s="35">
        <f>+'New Year-Full Year'!Q36</f>
        <v>500</v>
      </c>
      <c r="F38" s="35">
        <f>+'New Year-Full Year'!R36</f>
        <v>800</v>
      </c>
      <c r="G38" s="35">
        <f t="shared" si="6"/>
        <v>-300</v>
      </c>
      <c r="H38" s="3">
        <f t="shared" si="7"/>
        <v>-0.375</v>
      </c>
      <c r="J38" s="35">
        <f>+'New Year-Full Year'!V36</f>
        <v>465.7</v>
      </c>
      <c r="K38" s="35">
        <f>+'New Year-Full Year'!W36</f>
        <v>533.36</v>
      </c>
      <c r="L38" s="3">
        <f>IF(K38=0,"NA",(+J38-K38)/K38)</f>
        <v>-0.12685615719214044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1105.6500000000001</v>
      </c>
      <c r="K39" s="34">
        <f>SUM(K33:K38)</f>
        <v>2427.8000000000002</v>
      </c>
      <c r="L39" s="19">
        <f t="shared" si="8"/>
        <v>-0.54458769256116646</v>
      </c>
    </row>
    <row r="40" spans="1:12" ht="19.5" customHeight="1" x14ac:dyDescent="0.35">
      <c r="A40" s="40">
        <v>40</v>
      </c>
      <c r="B40" s="772" t="str">
        <f>+'New Year-Full Year'!B38</f>
        <v>Worship</v>
      </c>
      <c r="H40" s="36"/>
    </row>
    <row r="41" spans="1:12" x14ac:dyDescent="0.35">
      <c r="A41" s="40">
        <v>41</v>
      </c>
      <c r="C41" s="1" t="str">
        <f>+'New Year-Full Year'!C39</f>
        <v>Worship Supplies</v>
      </c>
      <c r="E41" s="35">
        <f>+'New Year-Full Year'!Q39</f>
        <v>4000</v>
      </c>
      <c r="F41" s="35">
        <f>+'New Year-Full Year'!R39</f>
        <v>3000</v>
      </c>
      <c r="G41" s="35">
        <f>+E41-F41</f>
        <v>1000</v>
      </c>
      <c r="H41" s="3">
        <f>IF(F41=0,"NA",(+E41-F41)/F41)</f>
        <v>0.33333333333333331</v>
      </c>
      <c r="J41" s="35">
        <f>+'New Year-Full Year'!V39</f>
        <v>1848.34</v>
      </c>
      <c r="K41" s="35">
        <f>+'New Year-Full Year'!W39</f>
        <v>2000</v>
      </c>
      <c r="L41" s="3">
        <f>IF(K41=0,"NA",(+J41-K41)/K41)</f>
        <v>-7.5830000000000036E-2</v>
      </c>
    </row>
    <row r="42" spans="1:12" x14ac:dyDescent="0.35">
      <c r="A42" s="40">
        <v>44</v>
      </c>
      <c r="C42" s="1" t="str">
        <f>+'New Year-Full Year'!C40</f>
        <v>Flowers</v>
      </c>
      <c r="E42" s="35">
        <f>+'New Year-Full Year'!Q40</f>
        <v>100</v>
      </c>
      <c r="F42" s="35">
        <f>+'New Year-Full Year'!R40</f>
        <v>200</v>
      </c>
      <c r="G42" s="35">
        <f>+E42-F42</f>
        <v>-100</v>
      </c>
      <c r="H42" s="3">
        <f>IF(F42=0,"NA",(+E42-F42)/F42)</f>
        <v>-0.5</v>
      </c>
      <c r="J42" s="35">
        <f>+'New Year-Full Year'!V40</f>
        <v>2.5</v>
      </c>
      <c r="K42" s="35">
        <f>+'New Year-Full Year'!W40</f>
        <v>133.36000000000001</v>
      </c>
      <c r="L42" s="3">
        <f>IF(K42=0,"NA",(+J42-K42)/K42)</f>
        <v>-0.98125374925014996</v>
      </c>
    </row>
    <row r="43" spans="1:12" s="2" customFormat="1" x14ac:dyDescent="0.35">
      <c r="A43" s="40">
        <v>45</v>
      </c>
      <c r="B43" s="34" t="str">
        <f>+'New Year-Full Year'!B41</f>
        <v>Total Worship</v>
      </c>
      <c r="C43" s="34"/>
      <c r="D43" s="34"/>
      <c r="E43" s="34">
        <f>SUM(E41:E42)</f>
        <v>4100</v>
      </c>
      <c r="F43" s="34">
        <f>SUM(F41:F42)</f>
        <v>3200</v>
      </c>
      <c r="G43" s="34">
        <f>SUM(G41:G42)</f>
        <v>900</v>
      </c>
      <c r="H43" s="19">
        <f>IF(F43=0,"NA",(+E43-F43)/F43)</f>
        <v>0.28125</v>
      </c>
      <c r="J43" s="34">
        <f>SUM(J41:J42)</f>
        <v>1850.84</v>
      </c>
      <c r="K43" s="34">
        <f>SUM(K41:K42)</f>
        <v>2133.36</v>
      </c>
      <c r="L43" s="19">
        <f>IF(K43=0,"NA",(+J43-K43)/K43)</f>
        <v>-0.1324295946300672</v>
      </c>
    </row>
    <row r="44" spans="1:12" ht="6.75" customHeight="1" x14ac:dyDescent="0.35">
      <c r="A44" s="40">
        <v>46</v>
      </c>
      <c r="H44" s="36"/>
    </row>
    <row r="45" spans="1:12" s="2" customFormat="1" x14ac:dyDescent="0.35">
      <c r="A45" s="40">
        <v>51</v>
      </c>
      <c r="B45" s="34" t="e">
        <f>+'New Year-Full Year'!#REF!</f>
        <v>#REF!</v>
      </c>
      <c r="C45" s="34"/>
      <c r="D45" s="34"/>
      <c r="E45" s="34">
        <f>+'New Year-Full Year'!Q42</f>
        <v>3000</v>
      </c>
      <c r="F45" s="34">
        <f>+'New Year-Full Year'!R42</f>
        <v>3000</v>
      </c>
      <c r="G45" s="34">
        <f>+E45-F45</f>
        <v>0</v>
      </c>
      <c r="H45" s="19">
        <f>IF(F45=0,"NA",(+E45-F45)/F45)</f>
        <v>0</v>
      </c>
      <c r="J45" s="34">
        <f>+'New Year-Full Year'!V42</f>
        <v>1424.84</v>
      </c>
      <c r="K45" s="34">
        <f>+'New Year-Full Year'!W42</f>
        <v>2000</v>
      </c>
      <c r="L45" s="19">
        <f>IF(K45=0,"NA",(+J45-K45)/K45)</f>
        <v>-0.28758000000000006</v>
      </c>
    </row>
    <row r="46" spans="1:12" ht="19.5" customHeight="1" x14ac:dyDescent="0.35">
      <c r="A46" s="40">
        <v>53</v>
      </c>
      <c r="B46" s="772"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Year'!Q44</f>
        <v>250</v>
      </c>
      <c r="F50" s="42">
        <f>+'New Year-Full Year'!R44</f>
        <v>200</v>
      </c>
      <c r="G50" s="34">
        <f>+E50-F50</f>
        <v>50</v>
      </c>
      <c r="H50" s="19">
        <f>IF(F50=0,"NA",(+E50-F50)/F50)</f>
        <v>0.25</v>
      </c>
      <c r="J50" s="42">
        <f>+'New Year-Full Year'!V44</f>
        <v>125</v>
      </c>
      <c r="K50" s="42">
        <f>+'New Year-Full Year'!W44</f>
        <v>133.36000000000001</v>
      </c>
      <c r="L50" s="19">
        <f>IF(K50=0,"NA",(+J50-K50)/K50)</f>
        <v>-6.2687462507498598E-2</v>
      </c>
    </row>
    <row r="51" spans="1:12" ht="19.5" customHeight="1" x14ac:dyDescent="0.35">
      <c r="A51" s="40">
        <v>60</v>
      </c>
      <c r="B51" s="772" t="str">
        <f>+'New Year-Full Year'!B45</f>
        <v>Misc Programs</v>
      </c>
      <c r="H51" s="36"/>
    </row>
    <row r="52" spans="1:12" x14ac:dyDescent="0.35">
      <c r="A52" s="40">
        <v>61</v>
      </c>
      <c r="C52" s="1" t="str">
        <f>+'New Year-Full Year'!C46</f>
        <v>Stewardship</v>
      </c>
      <c r="E52" s="35">
        <f>+'New Year-Full Year'!Q46</f>
        <v>200</v>
      </c>
      <c r="F52" s="35">
        <f>+'New Year-Full Year'!R46</f>
        <v>200</v>
      </c>
      <c r="G52" s="35">
        <f t="shared" ref="G52:G56" si="9">+E52-F52</f>
        <v>0</v>
      </c>
      <c r="H52" s="3">
        <f t="shared" ref="H52:H57" si="10">IF(F52=0,"NA",(+E52-F52)/F52)</f>
        <v>0</v>
      </c>
      <c r="J52" s="35">
        <f>+'New Year-Full Year'!V46</f>
        <v>0</v>
      </c>
      <c r="K52" s="35">
        <f>+'New Year-Full Year'!W46</f>
        <v>0</v>
      </c>
      <c r="L52" s="3" t="str">
        <f t="shared" ref="L52:L57" si="11">IF(K52=0,"NA",(+J52-K52)/K52)</f>
        <v>NA</v>
      </c>
    </row>
    <row r="53" spans="1:12" x14ac:dyDescent="0.35">
      <c r="A53" s="40">
        <v>62</v>
      </c>
      <c r="C53" s="1" t="str">
        <f>+'New Year-Full Year'!C51</f>
        <v>Envelopes, Giving</v>
      </c>
      <c r="E53" s="35">
        <f>+'New Year-Full Year'!Q51</f>
        <v>300</v>
      </c>
      <c r="F53" s="35">
        <f>+'New Year-Full Year'!R51</f>
        <v>300</v>
      </c>
      <c r="G53" s="35">
        <f t="shared" si="9"/>
        <v>0</v>
      </c>
      <c r="H53" s="3">
        <f t="shared" si="10"/>
        <v>0</v>
      </c>
      <c r="J53" s="35">
        <f>+'New Year-Full Year'!V51</f>
        <v>19.8</v>
      </c>
      <c r="K53" s="35">
        <f>+'New Year-Full Year'!W51</f>
        <v>0</v>
      </c>
      <c r="L53" s="3" t="str">
        <f t="shared" si="11"/>
        <v>NA</v>
      </c>
    </row>
    <row r="54" spans="1:12" x14ac:dyDescent="0.35">
      <c r="A54" s="40">
        <v>63</v>
      </c>
      <c r="C54" s="1" t="str">
        <f>+'New Year-Full Year'!C52</f>
        <v>Synod Assembly</v>
      </c>
      <c r="E54" s="35">
        <f>+'New Year-Full Year'!Q52</f>
        <v>750</v>
      </c>
      <c r="F54" s="35">
        <f>+'New Year-Full Year'!R52</f>
        <v>500</v>
      </c>
      <c r="G54" s="35">
        <f t="shared" si="9"/>
        <v>250</v>
      </c>
      <c r="H54" s="3">
        <f t="shared" si="10"/>
        <v>0.5</v>
      </c>
      <c r="J54" s="35">
        <f>+'New Year-Full Year'!V52</f>
        <v>705</v>
      </c>
      <c r="K54" s="35">
        <f>+'New Year-Full Year'!W52</f>
        <v>500</v>
      </c>
      <c r="L54" s="3">
        <f t="shared" si="11"/>
        <v>0.41</v>
      </c>
    </row>
    <row r="55" spans="1:12" x14ac:dyDescent="0.35">
      <c r="C55" s="1" t="str">
        <f>+'New Year-Full Year'!C53</f>
        <v>Other Programs</v>
      </c>
      <c r="E55" s="35">
        <f>+'New Year-Full Year'!Q53</f>
        <v>700</v>
      </c>
      <c r="F55" s="35">
        <f>+'New Year-Full Year'!R53</f>
        <v>700</v>
      </c>
      <c r="G55" s="35">
        <f t="shared" si="9"/>
        <v>0</v>
      </c>
      <c r="H55" s="3">
        <f>IF(F55=0,"NA",(+E55-F55)/F55)</f>
        <v>0</v>
      </c>
      <c r="J55" s="35">
        <f>+'New Year-Full Year'!V53</f>
        <v>491.61</v>
      </c>
      <c r="K55" s="35">
        <f>+'New Year-Full Year'!W53</f>
        <v>466.64</v>
      </c>
      <c r="L55" s="3">
        <f>IF(K55=0,"NA",(+J55-K55)/K55)</f>
        <v>5.3510200582890508E-2</v>
      </c>
    </row>
    <row r="56" spans="1:12" x14ac:dyDescent="0.35">
      <c r="A56" s="40">
        <v>65</v>
      </c>
      <c r="C56" s="1" t="str">
        <f>+'New Year-Full Year'!C54</f>
        <v>Organ/Piano Maintenance</v>
      </c>
      <c r="E56" s="35">
        <f>+'New Year-Full Year'!Q54</f>
        <v>500</v>
      </c>
      <c r="F56" s="35">
        <f>+'New Year-Full Year'!R54</f>
        <v>1484</v>
      </c>
      <c r="G56" s="35">
        <f t="shared" si="9"/>
        <v>-984</v>
      </c>
      <c r="H56" s="3">
        <f t="shared" si="10"/>
        <v>-0.66307277628032346</v>
      </c>
      <c r="J56" s="35">
        <f>+'New Year-Full Year'!V54</f>
        <v>115</v>
      </c>
      <c r="K56" s="35">
        <f>+'New Year-Full Year'!W54</f>
        <v>989.36</v>
      </c>
      <c r="L56" s="3">
        <f t="shared" si="11"/>
        <v>-0.88376324088299507</v>
      </c>
    </row>
    <row r="57" spans="1:12" s="2" customFormat="1" x14ac:dyDescent="0.35">
      <c r="A57" s="40">
        <v>66</v>
      </c>
      <c r="B57" s="34" t="str">
        <f>+'New Year-Full Year'!B55</f>
        <v>Total Misc Programs</v>
      </c>
      <c r="C57" s="34"/>
      <c r="D57" s="34"/>
      <c r="E57" s="34">
        <f>SUM(E52:E56)</f>
        <v>2450</v>
      </c>
      <c r="F57" s="34">
        <f>SUM(F52:F56)</f>
        <v>3184</v>
      </c>
      <c r="G57" s="34">
        <f>SUM(G52:G56)</f>
        <v>-734</v>
      </c>
      <c r="H57" s="19">
        <f t="shared" si="10"/>
        <v>-0.23052763819095479</v>
      </c>
      <c r="J57" s="34">
        <f>SUM(J52:J56)</f>
        <v>1331.4099999999999</v>
      </c>
      <c r="K57" s="34">
        <f>SUM(K52:K56)</f>
        <v>1956</v>
      </c>
      <c r="L57" s="19">
        <f t="shared" si="11"/>
        <v>-0.3193200408997956</v>
      </c>
    </row>
    <row r="58" spans="1:12" ht="19.5" customHeight="1" x14ac:dyDescent="0.35">
      <c r="A58" s="40">
        <v>68</v>
      </c>
      <c r="B58" s="772" t="str">
        <f>+'New Year-Full Year'!B56</f>
        <v>Office Expense</v>
      </c>
      <c r="H58" s="36"/>
    </row>
    <row r="59" spans="1:12" x14ac:dyDescent="0.35">
      <c r="A59" s="40">
        <v>69</v>
      </c>
      <c r="C59" s="1" t="str">
        <f>+'New Year-Full Year'!C57</f>
        <v>Office Supplies</v>
      </c>
      <c r="E59" s="35">
        <f>+'New Year-Full Year'!Q57</f>
        <v>2000</v>
      </c>
      <c r="F59" s="35">
        <f>+'New Year-Full Year'!R57</f>
        <v>2000</v>
      </c>
      <c r="G59" s="35">
        <f t="shared" ref="G59:G65" si="12">+E59-F59</f>
        <v>0</v>
      </c>
      <c r="H59" s="3">
        <f t="shared" ref="H59:H67" si="13">IF(F59=0,"NA",(+E59-F59)/F59)</f>
        <v>0</v>
      </c>
      <c r="J59" s="35">
        <f>+'New Year-Full Year'!V57</f>
        <v>688.61</v>
      </c>
      <c r="K59" s="35">
        <f>+'New Year-Full Year'!W57</f>
        <v>1333.36</v>
      </c>
      <c r="L59" s="3">
        <f t="shared" ref="L59:L67" si="14">IF(K59=0,"NA",(+J59-K59)/K59)</f>
        <v>-0.48355282894342111</v>
      </c>
    </row>
    <row r="60" spans="1:12" x14ac:dyDescent="0.35">
      <c r="A60" s="40">
        <v>70</v>
      </c>
      <c r="C60" s="1" t="str">
        <f>+'New Year-Full Year'!C58</f>
        <v>Postage</v>
      </c>
      <c r="E60" s="35">
        <f>+'New Year-Full Year'!Q58</f>
        <v>2000</v>
      </c>
      <c r="F60" s="35">
        <f>+'New Year-Full Year'!R58</f>
        <v>2000</v>
      </c>
      <c r="G60" s="35">
        <f t="shared" si="12"/>
        <v>0</v>
      </c>
      <c r="H60" s="3">
        <f t="shared" si="13"/>
        <v>0</v>
      </c>
      <c r="J60" s="35">
        <f>+'New Year-Full Year'!V58</f>
        <v>680</v>
      </c>
      <c r="K60" s="35">
        <f>+'New Year-Full Year'!W58</f>
        <v>1333.36</v>
      </c>
      <c r="L60" s="3">
        <f t="shared" si="14"/>
        <v>-0.49001019979600402</v>
      </c>
    </row>
    <row r="61" spans="1:12" x14ac:dyDescent="0.35">
      <c r="C61" s="1" t="str">
        <f>+'New Year-Full Year'!C59</f>
        <v>Technology</v>
      </c>
      <c r="E61" s="35">
        <f>+'New Year-Full Year'!Q59</f>
        <v>10719</v>
      </c>
      <c r="F61" s="35">
        <f>+'New Year-Full Year'!R59</f>
        <v>9500</v>
      </c>
      <c r="G61" s="35">
        <f t="shared" ref="G61" si="15">+E61-F61</f>
        <v>1219</v>
      </c>
      <c r="H61" s="3">
        <f t="shared" ref="H61" si="16">IF(F61=0,"NA",(+E61-F61)/F61)</f>
        <v>0.12831578947368422</v>
      </c>
      <c r="J61" s="35">
        <f>+'New Year-Full Year'!V59</f>
        <v>4660.21</v>
      </c>
      <c r="K61" s="35">
        <f>+'New Year-Full Year'!W59</f>
        <v>6333.36</v>
      </c>
      <c r="L61" s="3">
        <f t="shared" ref="L61" si="17">IF(K61=0,"NA",(+J61-K61)/K61)</f>
        <v>-0.26418046660856159</v>
      </c>
    </row>
    <row r="62" spans="1:12" x14ac:dyDescent="0.35">
      <c r="A62" s="40">
        <v>73</v>
      </c>
      <c r="C62" s="1" t="str">
        <f>+'New Year-Full Year'!C60</f>
        <v>Office Equipment/Computer</v>
      </c>
      <c r="E62" s="35">
        <f>+'New Year-Full Year'!Q60</f>
        <v>5894</v>
      </c>
      <c r="F62" s="35">
        <f>+'New Year-Full Year'!R60</f>
        <v>8659</v>
      </c>
      <c r="G62" s="35">
        <f t="shared" si="12"/>
        <v>-2765</v>
      </c>
      <c r="H62" s="3">
        <f t="shared" si="13"/>
        <v>-0.31932093775262732</v>
      </c>
      <c r="J62" s="35">
        <f>+'New Year-Full Year'!V60</f>
        <v>4889.7299999999996</v>
      </c>
      <c r="K62" s="35">
        <f>+'New Year-Full Year'!W60</f>
        <v>5772.64</v>
      </c>
      <c r="L62" s="3">
        <f t="shared" si="14"/>
        <v>-0.15294735164500137</v>
      </c>
    </row>
    <row r="63" spans="1:12" x14ac:dyDescent="0.35">
      <c r="A63" s="40">
        <v>74</v>
      </c>
      <c r="C63" s="1" t="str">
        <f>+'New Year-Full Year'!C61</f>
        <v>Kitchen Supplies</v>
      </c>
      <c r="E63" s="35">
        <f>+'New Year-Full Year'!Q61</f>
        <v>700</v>
      </c>
      <c r="F63" s="35">
        <f>+'New Year-Full Year'!R61</f>
        <v>700</v>
      </c>
      <c r="G63" s="35">
        <f t="shared" si="12"/>
        <v>0</v>
      </c>
      <c r="H63" s="3">
        <f t="shared" si="13"/>
        <v>0</v>
      </c>
      <c r="J63" s="35">
        <f>+'New Year-Full Year'!V61</f>
        <v>540.54999999999995</v>
      </c>
      <c r="K63" s="35">
        <f>+'New Year-Full Year'!W61</f>
        <v>466.64</v>
      </c>
      <c r="L63" s="3">
        <f t="shared" si="14"/>
        <v>0.15838762214983707</v>
      </c>
    </row>
    <row r="64" spans="1:12" x14ac:dyDescent="0.35">
      <c r="A64" s="40">
        <v>75</v>
      </c>
      <c r="C64" s="1" t="str">
        <f>+'New Year-Full Year'!C62</f>
        <v>Bank Fees</v>
      </c>
      <c r="E64" s="35">
        <f>+'New Year-Full Year'!Q62</f>
        <v>3000</v>
      </c>
      <c r="F64" s="35">
        <f>+'New Year-Full Year'!R62</f>
        <v>2000</v>
      </c>
      <c r="G64" s="35">
        <f t="shared" si="12"/>
        <v>1000</v>
      </c>
      <c r="H64" s="3">
        <f t="shared" si="13"/>
        <v>0.5</v>
      </c>
      <c r="J64" s="35">
        <f>+'New Year-Full Year'!V62</f>
        <v>2022.01</v>
      </c>
      <c r="K64" s="35">
        <f>+'New Year-Full Year'!W62</f>
        <v>1333.36</v>
      </c>
      <c r="L64" s="3">
        <f t="shared" si="14"/>
        <v>0.51647717045659103</v>
      </c>
    </row>
    <row r="65" spans="1:13" x14ac:dyDescent="0.35">
      <c r="A65" s="40">
        <v>76</v>
      </c>
      <c r="C65" s="1" t="str">
        <f>+'New Year-Full Year'!C63</f>
        <v>Professional Fees</v>
      </c>
      <c r="E65" s="35">
        <f>+'New Year-Full Year'!Q63</f>
        <v>200</v>
      </c>
      <c r="F65" s="35">
        <f>+'New Year-Full Year'!R63</f>
        <v>1000</v>
      </c>
      <c r="G65" s="35">
        <f t="shared" si="12"/>
        <v>-800</v>
      </c>
      <c r="H65" s="3">
        <f>IF(F65=0,"NA",(+E65-F65)/F65)</f>
        <v>-0.8</v>
      </c>
      <c r="J65" s="35">
        <f>+'New Year-Full Year'!V63</f>
        <v>0</v>
      </c>
      <c r="K65" s="35">
        <f>+'New Year-Full Year'!W63</f>
        <v>666.64</v>
      </c>
      <c r="L65" s="3">
        <f>IF(K65=0,"NA",(+J65-K65)/K65)</f>
        <v>-1</v>
      </c>
    </row>
    <row r="66" spans="1:13" s="2" customFormat="1" x14ac:dyDescent="0.35">
      <c r="A66" s="40">
        <v>76</v>
      </c>
      <c r="B66" s="34" t="str">
        <f>+'New Year-Full Year'!B64</f>
        <v>Total Office Expense</v>
      </c>
      <c r="C66" s="34"/>
      <c r="D66" s="34"/>
      <c r="E66" s="34">
        <f>SUM(E59:E65)</f>
        <v>24513</v>
      </c>
      <c r="F66" s="34">
        <f>SUM(F59:F65)</f>
        <v>25859</v>
      </c>
      <c r="G66" s="34">
        <f>SUM(G59:G65)</f>
        <v>-1346</v>
      </c>
      <c r="H66" s="19">
        <f t="shared" si="13"/>
        <v>-5.2051510112533353E-2</v>
      </c>
      <c r="J66" s="34">
        <f>SUM(J59:J65)</f>
        <v>13481.109999999999</v>
      </c>
      <c r="K66" s="34">
        <f>SUM(K59:K65)</f>
        <v>17239.36</v>
      </c>
      <c r="L66" s="19">
        <f t="shared" si="14"/>
        <v>-0.218004032632302</v>
      </c>
    </row>
    <row r="67" spans="1:13" x14ac:dyDescent="0.35">
      <c r="A67" s="40">
        <v>77</v>
      </c>
      <c r="B67" s="34" t="str">
        <f>+'New Year-Full Year'!B65</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246</v>
      </c>
      <c r="H69" s="36"/>
    </row>
    <row r="70" spans="1:13" hidden="1" x14ac:dyDescent="0.35">
      <c r="A70" s="40">
        <v>81</v>
      </c>
      <c r="C70" s="1336" t="s">
        <v>301</v>
      </c>
      <c r="D70" s="1336"/>
      <c r="E70" s="35" t="e">
        <f>'New Year-Full Year'!Q$86+'New Year-Full Year'!#REF!+'New Year-Full Year'!Q$94+SUM('New Year-Full Year'!Q$96:Q$97)+SUM('New Year-Full Year'!#REF!)+'New Year-Full Year'!Q$106</f>
        <v>#REF!</v>
      </c>
      <c r="F70" s="35" t="e">
        <f>'New Year-Full Year'!R$86+'New Year-Full Year'!#REF!+'New Year-Full Year'!R$94+SUM('New Year-Full Year'!R$96:R$97)+SUM('New Year-Full Year'!#REF!)+'New Year-Full Year'!R$106</f>
        <v>#REF!</v>
      </c>
      <c r="G70" s="35" t="e">
        <f>+E70-F70</f>
        <v>#REF!</v>
      </c>
      <c r="H70" s="3" t="e">
        <f>IF(F70=0,"NA",(+E70-F70)/F70)</f>
        <v>#REF!</v>
      </c>
      <c r="J70" s="35" t="e">
        <f>'New Year-Full Year'!V$86+'New Year-Full Year'!#REF!+'New Year-Full Year'!V$94+SUM('New Year-Full Year'!V$96:V$97)+SUM('New Year-Full Year'!#REF!)+'New Year-Full Year'!V$106</f>
        <v>#REF!</v>
      </c>
      <c r="K70" s="35" t="e">
        <f>'New Year-Full Year'!W$86+'New Year-Full Year'!#REF!+'New Year-Full Year'!W$94+SUM('New Year-Full Year'!W$96:W$97)+SUM('New Year-Full Year'!#REF!)+'New Year-Full Year'!W$106</f>
        <v>#REF!</v>
      </c>
      <c r="L70" s="3" t="e">
        <f>IF(K70=0,"NA",(+J70-K70)/K70)</f>
        <v>#REF!</v>
      </c>
    </row>
    <row r="71" spans="1:13" hidden="1" x14ac:dyDescent="0.35">
      <c r="A71" s="40">
        <v>83</v>
      </c>
      <c r="C71" s="1" t="s">
        <v>93</v>
      </c>
      <c r="E71" s="35">
        <f>+'New Year-Full Year'!Q101+'New Year-Full Year'!Q102+'New Year-Full Year'!Q104+'New Year-Full Year'!Q105</f>
        <v>16036</v>
      </c>
      <c r="F71" s="35">
        <f>+'New Year-Full Year'!R101+'New Year-Full Year'!R102+'New Year-Full Year'!R104+'New Year-Full Year'!R105</f>
        <v>18117.5</v>
      </c>
      <c r="G71" s="35">
        <f>+E71-F71</f>
        <v>-2081.5</v>
      </c>
      <c r="H71" s="3">
        <f>IF(F71=0,"NA",(+E71-F71)/F71)</f>
        <v>-0.11488891955291845</v>
      </c>
      <c r="J71" s="35">
        <f>+'New Year-Full Year'!V101+'New Year-Full Year'!V102+'New Year-Full Year'!V104+'New Year-Full Year'!V105</f>
        <v>5971.45</v>
      </c>
      <c r="K71" s="35">
        <f>+'New Year-Full Year'!W101+'New Year-Full Year'!W102+'New Year-Full Year'!W104+'New Year-Full Year'!W105</f>
        <v>10840.720000000001</v>
      </c>
      <c r="L71" s="3">
        <f>IF(K71=0,"NA",(+J71-K71)/K71)</f>
        <v>-0.44916481562110272</v>
      </c>
      <c r="M71" s="254"/>
    </row>
    <row r="72" spans="1:13" hidden="1" x14ac:dyDescent="0.35">
      <c r="B72" s="2" t="s">
        <v>247</v>
      </c>
      <c r="D72" s="2" t="s">
        <v>510</v>
      </c>
      <c r="E72" s="35"/>
      <c r="F72" s="35"/>
      <c r="G72" s="35"/>
      <c r="H72" s="3"/>
      <c r="J72" s="35"/>
      <c r="K72" s="35"/>
      <c r="L72" s="3"/>
      <c r="M72" s="254"/>
    </row>
    <row r="73" spans="1:13" hidden="1" x14ac:dyDescent="0.35">
      <c r="C73" s="1336" t="s">
        <v>248</v>
      </c>
      <c r="D73" s="1336"/>
      <c r="E73" s="35">
        <f>'New Year-Full Year'!Q$87+'New Year-Full Year'!Q$103++'New Year-Full Year'!Q$68+SUM('New Year-Full Year'!Q69:Q75)</f>
        <v>101672.11</v>
      </c>
      <c r="F73" s="35">
        <f>'New Year-Full Year'!R$87+'New Year-Full Year'!R$103++'New Year-Full Year'!R$68+SUM('New Year-Full Year'!R69:R75)</f>
        <v>120963</v>
      </c>
      <c r="G73" s="35">
        <f>+E73-F73</f>
        <v>-19290.89</v>
      </c>
      <c r="H73" s="3">
        <f>IF(F73=0,"NA",(+E73-F73)/F73)</f>
        <v>-0.15947760885560047</v>
      </c>
      <c r="J73" s="35" t="e">
        <f>'New Year-Full Year'!#REF!+'New Year-Full Year'!V$103++'New Year-Full Year'!V$68+SUM('New Year-Full Year'!V69:V75)</f>
        <v>#REF!</v>
      </c>
      <c r="K73" s="35" t="e">
        <f>'New Year-Full Year'!#REF!+'New Year-Full Year'!W$103++'New Year-Full Year'!W$68+SUM('New Year-Full Year'!W69:W75)</f>
        <v>#REF!</v>
      </c>
      <c r="L73" s="3" t="e">
        <f>IF(K73=0,"NA",(+J73-K73)/K73)</f>
        <v>#REF!</v>
      </c>
      <c r="M73" s="254"/>
    </row>
    <row r="74" spans="1:13" s="2" customFormat="1" x14ac:dyDescent="0.35">
      <c r="A74" s="40">
        <v>86</v>
      </c>
      <c r="B74" s="22" t="s">
        <v>302</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72" t="str">
        <f>+'New Year-Full Year'!B110</f>
        <v>Utilities</v>
      </c>
      <c r="H76" s="36"/>
    </row>
    <row r="77" spans="1:13" x14ac:dyDescent="0.35">
      <c r="A77" s="40">
        <v>132</v>
      </c>
      <c r="C77" s="1" t="str">
        <f>+'New Year-Full Year'!C111</f>
        <v>Electric</v>
      </c>
      <c r="E77" s="35">
        <f>+'New Year-Full Year'!Q111</f>
        <v>13000</v>
      </c>
      <c r="F77" s="35">
        <f>+'New Year-Full Year'!R111</f>
        <v>13000</v>
      </c>
      <c r="G77" s="35">
        <f t="shared" ref="G77:G82" si="18">+E77-F77</f>
        <v>0</v>
      </c>
      <c r="H77" s="3">
        <f t="shared" ref="H77:H83" si="19">IF(F77=0,"NA",(+E77-F77)/F77)</f>
        <v>0</v>
      </c>
      <c r="J77" s="35">
        <f>+'New Year-Full Year'!V111</f>
        <v>7472.88</v>
      </c>
      <c r="K77" s="35">
        <f>+'New Year-Full Year'!W111</f>
        <v>8666.64</v>
      </c>
      <c r="L77" s="3">
        <f t="shared" ref="L77:L83" si="20">IF(K77=0,"NA",(+J77-K77)/K77)</f>
        <v>-0.13774196228296079</v>
      </c>
    </row>
    <row r="78" spans="1:13" x14ac:dyDescent="0.35">
      <c r="A78" s="40">
        <v>133</v>
      </c>
      <c r="C78" s="1" t="str">
        <f>+'New Year-Full Year'!C112</f>
        <v>Gas</v>
      </c>
      <c r="E78" s="35">
        <f>+'New Year-Full Year'!Q112</f>
        <v>9000</v>
      </c>
      <c r="F78" s="35">
        <f>+'New Year-Full Year'!R112</f>
        <v>12000</v>
      </c>
      <c r="G78" s="35">
        <f t="shared" si="18"/>
        <v>-3000</v>
      </c>
      <c r="H78" s="3">
        <f t="shared" si="19"/>
        <v>-0.25</v>
      </c>
      <c r="J78" s="35">
        <f>+'New Year-Full Year'!V112</f>
        <v>5786.95</v>
      </c>
      <c r="K78" s="35">
        <f>+'New Year-Full Year'!W112</f>
        <v>8000</v>
      </c>
      <c r="L78" s="3">
        <f t="shared" si="20"/>
        <v>-0.27663125</v>
      </c>
    </row>
    <row r="79" spans="1:13" x14ac:dyDescent="0.35">
      <c r="A79" s="40">
        <v>134</v>
      </c>
      <c r="C79" s="1" t="str">
        <f>+'New Year-Full Year'!C113</f>
        <v>Telephone</v>
      </c>
      <c r="E79" s="35">
        <f>+'New Year-Full Year'!Q113</f>
        <v>0</v>
      </c>
      <c r="F79" s="35">
        <f>+'New Year-Full Year'!R113</f>
        <v>2256.5</v>
      </c>
      <c r="G79" s="35">
        <f t="shared" si="18"/>
        <v>-2256.5</v>
      </c>
      <c r="H79" s="3">
        <f t="shared" si="19"/>
        <v>-1</v>
      </c>
      <c r="J79" s="35">
        <f>+'New Year-Full Year'!V113</f>
        <v>156.56</v>
      </c>
      <c r="K79" s="35">
        <f>+'New Year-Full Year'!W113</f>
        <v>1504.64</v>
      </c>
      <c r="L79" s="3">
        <f t="shared" si="20"/>
        <v>-0.89594853253934503</v>
      </c>
    </row>
    <row r="80" spans="1:13" x14ac:dyDescent="0.35">
      <c r="A80" s="40">
        <v>135</v>
      </c>
      <c r="C80" s="1" t="str">
        <f>+'New Year-Full Year'!C114</f>
        <v>Water</v>
      </c>
      <c r="E80" s="35">
        <f>+'New Year-Full Year'!Q114</f>
        <v>1900</v>
      </c>
      <c r="F80" s="35">
        <f>+'New Year-Full Year'!R114</f>
        <v>1800</v>
      </c>
      <c r="G80" s="35">
        <f t="shared" si="18"/>
        <v>100</v>
      </c>
      <c r="H80" s="3">
        <f t="shared" si="19"/>
        <v>5.5555555555555552E-2</v>
      </c>
      <c r="J80" s="35">
        <f>+'New Year-Full Year'!V114</f>
        <v>1363.84</v>
      </c>
      <c r="K80" s="35">
        <f>+'New Year-Full Year'!W114</f>
        <v>1350</v>
      </c>
      <c r="L80" s="3">
        <f t="shared" si="20"/>
        <v>1.0251851851851792E-2</v>
      </c>
    </row>
    <row r="81" spans="1:12" x14ac:dyDescent="0.35">
      <c r="A81" s="40">
        <v>136</v>
      </c>
      <c r="C81" s="1" t="str">
        <f>+'New Year-Full Year'!C115</f>
        <v>Security</v>
      </c>
      <c r="E81" s="35">
        <f>+'New Year-Full Year'!Q115</f>
        <v>400</v>
      </c>
      <c r="F81" s="35">
        <f>+'New Year-Full Year'!R115</f>
        <v>350</v>
      </c>
      <c r="G81" s="35">
        <f t="shared" si="18"/>
        <v>50</v>
      </c>
      <c r="H81" s="3">
        <f t="shared" si="19"/>
        <v>0.14285714285714285</v>
      </c>
      <c r="J81" s="35">
        <f>+'New Year-Full Year'!V115</f>
        <v>313.39999999999998</v>
      </c>
      <c r="K81" s="35">
        <f>+'New Year-Full Year'!W115</f>
        <v>350</v>
      </c>
      <c r="L81" s="3">
        <f t="shared" si="20"/>
        <v>-0.10457142857142863</v>
      </c>
    </row>
    <row r="82" spans="1:12" x14ac:dyDescent="0.35">
      <c r="A82" s="40">
        <v>138</v>
      </c>
      <c r="C82" s="1" t="str">
        <f>+'New Year-Full Year'!C116</f>
        <v>City Assessment</v>
      </c>
      <c r="E82" s="35">
        <f>+'New Year-Full Year'!Q116</f>
        <v>8000</v>
      </c>
      <c r="F82" s="35">
        <f>+'New Year-Full Year'!R116</f>
        <v>7000</v>
      </c>
      <c r="G82" s="35">
        <f t="shared" si="18"/>
        <v>1000</v>
      </c>
      <c r="H82" s="3">
        <f t="shared" si="19"/>
        <v>0.14285714285714285</v>
      </c>
      <c r="J82" s="35">
        <f>+'New Year-Full Year'!V116</f>
        <v>5912.6</v>
      </c>
      <c r="K82" s="35">
        <f>+'New Year-Full Year'!W116</f>
        <v>5250</v>
      </c>
      <c r="L82" s="3">
        <f t="shared" si="20"/>
        <v>0.12620952380952388</v>
      </c>
    </row>
    <row r="83" spans="1:12" s="2" customFormat="1" x14ac:dyDescent="0.35">
      <c r="A83" s="40">
        <v>139</v>
      </c>
      <c r="B83" s="25" t="str">
        <f>+'New Year-Full Year'!B117</f>
        <v>Total Utilities</v>
      </c>
      <c r="C83" s="25"/>
      <c r="D83" s="25"/>
      <c r="E83" s="25">
        <f>SUM(E77:E82)</f>
        <v>32300</v>
      </c>
      <c r="F83" s="25">
        <f>SUM(F77:F82)</f>
        <v>36406.5</v>
      </c>
      <c r="G83" s="25">
        <f>SUM(G77:G82)</f>
        <v>-4106.5</v>
      </c>
      <c r="H83" s="26">
        <f t="shared" si="19"/>
        <v>-0.11279579196022688</v>
      </c>
      <c r="J83" s="25">
        <f>SUM(J77:J82)</f>
        <v>21006.23</v>
      </c>
      <c r="K83" s="25">
        <f>SUM(K77:K82)</f>
        <v>25121.279999999999</v>
      </c>
      <c r="L83" s="26">
        <f t="shared" si="20"/>
        <v>-0.16380733784265769</v>
      </c>
    </row>
    <row r="84" spans="1:12" ht="19.5" customHeight="1" x14ac:dyDescent="0.35">
      <c r="A84" s="40">
        <v>141</v>
      </c>
      <c r="B84" s="772" t="str">
        <f>+'New Year-Full Year'!B118</f>
        <v>Church Maintenance</v>
      </c>
      <c r="H84" s="36"/>
    </row>
    <row r="85" spans="1:12" x14ac:dyDescent="0.35">
      <c r="A85" s="40">
        <v>142</v>
      </c>
      <c r="C85" s="1" t="str">
        <f>+'New Year-Full Year'!C119</f>
        <v>Insurance</v>
      </c>
      <c r="E85" s="35">
        <f>+'New Year-Full Year'!Q119</f>
        <v>15000</v>
      </c>
      <c r="F85" s="35">
        <f>+'New Year-Full Year'!R119</f>
        <v>14000</v>
      </c>
      <c r="G85" s="35">
        <f>+E85-F85</f>
        <v>1000</v>
      </c>
      <c r="H85" s="3">
        <f t="shared" ref="H85:H92" si="21">IF(F85=0,"NA",(+E85-F85)/F85)</f>
        <v>7.1428571428571425E-2</v>
      </c>
      <c r="J85" s="35">
        <f>+'New Year-Full Year'!V119</f>
        <v>7487.75</v>
      </c>
      <c r="K85" s="35">
        <f>+'New Year-Full Year'!W119</f>
        <v>7000</v>
      </c>
      <c r="L85" s="3">
        <f t="shared" ref="L85:L92" si="22">IF(K85=0,"NA",(+J85-K85)/K85)</f>
        <v>6.9678571428571423E-2</v>
      </c>
    </row>
    <row r="86" spans="1:12" x14ac:dyDescent="0.35">
      <c r="A86" s="40">
        <v>143</v>
      </c>
      <c r="C86" s="1" t="str">
        <f>+'New Year-Full Year'!C120</f>
        <v>Snow Removal</v>
      </c>
      <c r="E86" s="35">
        <f>+'New Year-Full Year'!Q120</f>
        <v>6000</v>
      </c>
      <c r="F86" s="35">
        <f>+'New Year-Full Year'!R120</f>
        <v>6000</v>
      </c>
      <c r="G86" s="35">
        <f>+E86-F86</f>
        <v>0</v>
      </c>
      <c r="H86" s="3">
        <f t="shared" si="21"/>
        <v>0</v>
      </c>
      <c r="J86" s="35">
        <f>+'New Year-Full Year'!V120</f>
        <v>2560.8000000000002</v>
      </c>
      <c r="K86" s="35">
        <f>+'New Year-Full Year'!W120</f>
        <v>4800</v>
      </c>
      <c r="L86" s="3">
        <f t="shared" si="22"/>
        <v>-0.46649999999999997</v>
      </c>
    </row>
    <row r="87" spans="1:12" x14ac:dyDescent="0.35">
      <c r="A87" s="40">
        <v>144</v>
      </c>
      <c r="C87" s="1" t="str">
        <f>+'New Year-Full Year'!C121</f>
        <v>Maint.  Supplies</v>
      </c>
      <c r="E87" s="35">
        <f>+'New Year-Full Year'!Q121</f>
        <v>4500</v>
      </c>
      <c r="F87" s="35">
        <f>+'New Year-Full Year'!R121</f>
        <v>4500</v>
      </c>
      <c r="G87" s="35">
        <f>+E87-F87</f>
        <v>0</v>
      </c>
      <c r="H87" s="3">
        <f t="shared" si="21"/>
        <v>0</v>
      </c>
      <c r="J87" s="35">
        <f>+'New Year-Full Year'!V121</f>
        <v>2574.31</v>
      </c>
      <c r="K87" s="35">
        <f>+'New Year-Full Year'!W121</f>
        <v>3000</v>
      </c>
      <c r="L87" s="3">
        <f t="shared" si="22"/>
        <v>-0.1418966666666667</v>
      </c>
    </row>
    <row r="88" spans="1:12" ht="15" customHeight="1" x14ac:dyDescent="0.35">
      <c r="A88" s="40">
        <v>145</v>
      </c>
      <c r="C88" s="1" t="str">
        <f>+'New Year-Full Year'!C122</f>
        <v>Maintenance Contracts</v>
      </c>
      <c r="D88" s="52"/>
      <c r="E88" s="35">
        <f>+'New Year-Full Year'!Q122</f>
        <v>6200</v>
      </c>
      <c r="F88" s="35">
        <f>+'New Year-Full Year'!R122</f>
        <v>6000</v>
      </c>
      <c r="G88" s="35">
        <f>+E88-F88</f>
        <v>200</v>
      </c>
      <c r="H88" s="3">
        <f t="shared" si="21"/>
        <v>3.3333333333333333E-2</v>
      </c>
      <c r="J88" s="35">
        <f>+'New Year-Full Year'!V122</f>
        <v>4136.46</v>
      </c>
      <c r="K88" s="35">
        <f>+'New Year-Full Year'!W122</f>
        <v>4000</v>
      </c>
      <c r="L88" s="3">
        <f t="shared" si="22"/>
        <v>3.4115000000000006E-2</v>
      </c>
    </row>
    <row r="89" spans="1:12" x14ac:dyDescent="0.35">
      <c r="A89" s="40">
        <v>146</v>
      </c>
      <c r="C89" s="1" t="str">
        <f>+'New Year-Full Year'!C123</f>
        <v>Building Repairs</v>
      </c>
      <c r="E89" s="35">
        <f>+'New Year-Full Year'!Q123</f>
        <v>10000</v>
      </c>
      <c r="F89" s="35">
        <f>+'New Year-Full Year'!R123</f>
        <v>10000</v>
      </c>
      <c r="G89" s="35">
        <f>+E89-F89</f>
        <v>0</v>
      </c>
      <c r="H89" s="3">
        <f t="shared" si="21"/>
        <v>0</v>
      </c>
      <c r="J89" s="35">
        <f>+'New Year-Full Year'!V123</f>
        <v>0</v>
      </c>
      <c r="K89" s="35">
        <f>+'New Year-Full Year'!W123</f>
        <v>6666.64</v>
      </c>
      <c r="L89" s="3">
        <f t="shared" si="22"/>
        <v>-1</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1200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-2906.5</v>
      </c>
      <c r="H92" s="26" t="e">
        <f t="shared" si="21"/>
        <v>#REF!</v>
      </c>
      <c r="J92" s="25" t="e">
        <f>+J83+J91</f>
        <v>#REF!</v>
      </c>
      <c r="K92" s="25" t="e">
        <f>+K83+K91</f>
        <v>#REF!</v>
      </c>
      <c r="L92" s="26" t="e">
        <f t="shared" si="22"/>
        <v>#REF!</v>
      </c>
    </row>
    <row r="93" spans="1:12" ht="23" customHeight="1" x14ac:dyDescent="0.35">
      <c r="A93" s="40">
        <v>154</v>
      </c>
      <c r="B93" s="696" t="str">
        <f>+'New Year-Full Year'!B126</f>
        <v>Restricted Funds</v>
      </c>
      <c r="H93" s="36"/>
    </row>
    <row r="94" spans="1:12" ht="14.5" customHeight="1" x14ac:dyDescent="0.35">
      <c r="B94" s="696"/>
      <c r="C94" s="1" t="str">
        <f>'New Year-Full Year'!C127</f>
        <v>Misc. Expense</v>
      </c>
      <c r="E94" s="35">
        <f>SUM('New Year-Full Year'!Q127:Q127)</f>
        <v>0</v>
      </c>
      <c r="F94" s="35">
        <f>SUM('New Year-Full Year'!R127:R127)</f>
        <v>0</v>
      </c>
      <c r="G94" s="35">
        <f t="shared" ref="G94:G99" si="23">+E94-F94</f>
        <v>0</v>
      </c>
      <c r="H94" s="3" t="str">
        <f>IF(F94=0,"NA",(+E94-F94)/F94)</f>
        <v>NA</v>
      </c>
      <c r="J94" s="35">
        <f>SUM('New Year-Full Year'!V127:V127)</f>
        <v>0</v>
      </c>
      <c r="K94" s="35">
        <f>SUM('New Year-Full Year'!W127:W127)</f>
        <v>0</v>
      </c>
      <c r="L94" s="3" t="str">
        <f>IF(K94=0,"NA",(+J94-K94)/K94)</f>
        <v>NA</v>
      </c>
    </row>
    <row r="95" spans="1:12" x14ac:dyDescent="0.35">
      <c r="A95" s="40">
        <v>155</v>
      </c>
      <c r="C95" s="1" t="str">
        <f>'New Year-Full Year'!C128</f>
        <v>Operating Fund Reserve</v>
      </c>
      <c r="E95" s="35">
        <f>SUM('New Year-Full Year'!Q128:Q128)</f>
        <v>0</v>
      </c>
      <c r="F95" s="35">
        <f>SUM('New Year-Full Year'!R128:R128)</f>
        <v>0</v>
      </c>
      <c r="G95" s="35">
        <f t="shared" si="23"/>
        <v>0</v>
      </c>
      <c r="H95" s="3" t="str">
        <f t="shared" ref="H95:H101" si="24">IF(F95=0,"NA",(+E95-F95)/F95)</f>
        <v>NA</v>
      </c>
      <c r="J95" s="35">
        <f>SUM('New Year-Full Year'!V128:V128)</f>
        <v>0</v>
      </c>
      <c r="K95" s="35">
        <f>SUM('New Year-Full Year'!W128:W128)</f>
        <v>0</v>
      </c>
      <c r="L95" s="3" t="str">
        <f t="shared" ref="L95:L101" si="25">IF(K95=0,"NA",(+J95-K95)/K95)</f>
        <v>NA</v>
      </c>
    </row>
    <row r="96" spans="1:12" hidden="1" x14ac:dyDescent="0.35">
      <c r="C96" s="1" t="str">
        <f>'New Year-Full Year'!C129</f>
        <v>Pastor Transition</v>
      </c>
      <c r="E96" s="35">
        <f>SUM('New Year-Full Year'!Q129:Q129)</f>
        <v>0</v>
      </c>
      <c r="F96" s="35">
        <f>SUM('New Year-Full Year'!R129:R129)</f>
        <v>0</v>
      </c>
      <c r="G96" s="35">
        <f t="shared" si="23"/>
        <v>0</v>
      </c>
      <c r="H96" s="3" t="str">
        <f>IF(F96=0,"NA",(+E96-F96)/F96)</f>
        <v>NA</v>
      </c>
      <c r="J96" s="35">
        <f>SUM('New Year-Full Year'!V129:V129)</f>
        <v>0</v>
      </c>
      <c r="K96" s="35">
        <f>SUM('New Year-Full Year'!W129:W129)</f>
        <v>0</v>
      </c>
      <c r="L96" s="3" t="str">
        <f>IF(K96=0,"NA",(+J96-K96)/K96)</f>
        <v>NA</v>
      </c>
    </row>
    <row r="97" spans="1:12" ht="14.5" customHeight="1" x14ac:dyDescent="0.35">
      <c r="A97" s="40">
        <v>156</v>
      </c>
      <c r="C97" s="1" t="str">
        <f>'New Year-Full Year'!C130</f>
        <v>Facilities Fund Reserve</v>
      </c>
      <c r="E97" s="35">
        <f>+'New Year-Full Year'!Q130</f>
        <v>0</v>
      </c>
      <c r="F97" s="35">
        <f>+'New Year-Full Year'!R130</f>
        <v>0</v>
      </c>
      <c r="G97" s="35">
        <f t="shared" si="23"/>
        <v>0</v>
      </c>
      <c r="H97" s="3" t="str">
        <f t="shared" si="24"/>
        <v>NA</v>
      </c>
      <c r="J97" s="35">
        <f>+'New Year-Full Year'!V130</f>
        <v>0</v>
      </c>
      <c r="K97" s="35">
        <f>+'New Year-Full Year'!W130</f>
        <v>0</v>
      </c>
      <c r="L97" s="3" t="str">
        <f t="shared" si="25"/>
        <v>NA</v>
      </c>
    </row>
    <row r="98" spans="1:12" ht="14.5" hidden="1" customHeight="1" x14ac:dyDescent="0.35">
      <c r="A98" s="40">
        <v>157</v>
      </c>
      <c r="C98" s="1" t="str">
        <f>'New Year-Full Year'!C131</f>
        <v>Facilities Maintenance</v>
      </c>
      <c r="E98" s="35">
        <f>+'New Year-Full Year'!Q131</f>
        <v>0</v>
      </c>
      <c r="F98" s="35">
        <f>+'New Year-Full Year'!R131</f>
        <v>0</v>
      </c>
      <c r="G98" s="35">
        <f t="shared" si="23"/>
        <v>0</v>
      </c>
      <c r="H98" s="3" t="str">
        <f t="shared" si="24"/>
        <v>NA</v>
      </c>
      <c r="J98" s="35">
        <f>+'New Year-Full Year'!V131</f>
        <v>0</v>
      </c>
      <c r="K98" s="35">
        <f>+'New Year-Full Year'!W131</f>
        <v>0</v>
      </c>
      <c r="L98" s="695" t="s">
        <v>371</v>
      </c>
    </row>
    <row r="99" spans="1:12" x14ac:dyDescent="0.35">
      <c r="C99" s="1" t="s">
        <v>133</v>
      </c>
      <c r="E99" s="35">
        <f>+'New Year-Full Year'!Q132</f>
        <v>0</v>
      </c>
      <c r="F99" s="35">
        <f>+'New Year-Full Year'!R132</f>
        <v>0</v>
      </c>
      <c r="G99" s="35">
        <f t="shared" si="23"/>
        <v>0</v>
      </c>
      <c r="H99" s="3" t="str">
        <f t="shared" si="24"/>
        <v>NA</v>
      </c>
      <c r="J99" s="35">
        <f>+'New Year-Full Year'!V132</f>
        <v>0</v>
      </c>
      <c r="K99" s="35">
        <f>+'New Year-Full Year'!W132</f>
        <v>0</v>
      </c>
      <c r="L99" s="3" t="str">
        <f t="shared" si="25"/>
        <v>NA</v>
      </c>
    </row>
    <row r="100" spans="1:12" hidden="1" x14ac:dyDescent="0.35">
      <c r="A100" s="40">
        <v>158</v>
      </c>
      <c r="C100" s="1" t="str">
        <f>'New Year-Full Year'!C133</f>
        <v>Line of Credit Payment</v>
      </c>
      <c r="E100" s="35">
        <f>+'New Year-Full Year'!Q133</f>
        <v>0</v>
      </c>
      <c r="F100" s="35">
        <f>+'New Year-Full Year'!R133</f>
        <v>0</v>
      </c>
      <c r="G100" s="35"/>
      <c r="H100" s="3" t="str">
        <f t="shared" si="24"/>
        <v>NA</v>
      </c>
      <c r="J100" s="35">
        <f>+'New Year-Full Year'!V133</f>
        <v>0</v>
      </c>
      <c r="K100" s="35">
        <f>+'New Year-Full Year'!W133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0</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4" t="s">
        <v>371</v>
      </c>
      <c r="I108" s="86"/>
      <c r="J108" s="92" t="e">
        <f>+J106-J107</f>
        <v>#REF!</v>
      </c>
      <c r="K108" s="92" t="e">
        <f>+K106-K107</f>
        <v>#REF!</v>
      </c>
      <c r="L108" s="693" t="s">
        <v>371</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436" t="s">
        <v>269</v>
      </c>
      <c r="B1" s="1436"/>
      <c r="C1" s="1436"/>
      <c r="D1" s="1436"/>
      <c r="E1" s="1436"/>
      <c r="F1" s="1436"/>
      <c r="G1" s="1436"/>
      <c r="H1" s="1436"/>
      <c r="I1" s="1436"/>
      <c r="J1" s="1436"/>
      <c r="K1" s="1436"/>
      <c r="L1" s="1436"/>
      <c r="M1" s="1436"/>
      <c r="N1" s="1436"/>
      <c r="O1" s="1436"/>
      <c r="P1" s="1436"/>
      <c r="Q1" s="1436"/>
      <c r="R1" s="116"/>
      <c r="S1" s="788">
        <v>7.0000000000000007E-2</v>
      </c>
      <c r="V1" s="788">
        <v>0.08</v>
      </c>
      <c r="Y1" s="788">
        <v>0.09</v>
      </c>
      <c r="AB1" s="788">
        <v>0.1</v>
      </c>
    </row>
    <row r="2" spans="1:30" s="718" customFormat="1" ht="10" customHeight="1" thickBot="1" x14ac:dyDescent="0.4">
      <c r="B2" s="719"/>
      <c r="C2" s="720"/>
      <c r="D2" s="720"/>
      <c r="E2" s="721"/>
      <c r="I2" s="720"/>
      <c r="J2" s="720"/>
      <c r="K2" s="720"/>
      <c r="L2" s="720"/>
      <c r="M2" s="720"/>
      <c r="N2" s="720"/>
      <c r="R2" s="787"/>
      <c r="S2" s="1508" t="str">
        <f>"2023 Estimate at "&amp;S1*100&amp;"%"</f>
        <v>2023 Estimate at 7%</v>
      </c>
      <c r="T2" s="1509"/>
      <c r="U2" s="1510"/>
      <c r="V2" s="1508" t="str">
        <f>"2023 Estimate at "&amp;V1*100&amp;"%"</f>
        <v>2023 Estimate at 8%</v>
      </c>
      <c r="W2" s="1509"/>
      <c r="X2" s="1510"/>
      <c r="Y2" s="1508" t="str">
        <f>"2023 Estimate at "&amp;Y1*100&amp;"%"</f>
        <v>2023 Estimate at 9%</v>
      </c>
      <c r="Z2" s="1509"/>
      <c r="AA2" s="1510"/>
      <c r="AB2" s="1508" t="str">
        <f>"2023 Estimate at "&amp;AB1*100&amp;"%"</f>
        <v>2023 Estimate at 10%</v>
      </c>
      <c r="AC2" s="1509"/>
      <c r="AD2" s="1510"/>
    </row>
    <row r="3" spans="1:30" ht="37.5" customHeight="1" x14ac:dyDescent="0.35">
      <c r="C3" s="370" t="s">
        <v>263</v>
      </c>
      <c r="D3" s="349" t="s">
        <v>224</v>
      </c>
      <c r="E3" s="550" t="s">
        <v>374</v>
      </c>
      <c r="G3" s="704"/>
      <c r="H3" s="705"/>
      <c r="I3" s="1539" t="s">
        <v>373</v>
      </c>
      <c r="J3" s="1541" t="s">
        <v>500</v>
      </c>
      <c r="K3" s="1541" t="s">
        <v>501</v>
      </c>
      <c r="L3" s="1514" t="s">
        <v>509</v>
      </c>
      <c r="M3" s="1543" t="s">
        <v>487</v>
      </c>
      <c r="N3" s="1545" t="s">
        <v>282</v>
      </c>
      <c r="O3" s="1522" t="str">
        <f>"To Buy Back one week of vacation is $"&amp;ROUND(+N12/52,0)&amp;" per week"</f>
        <v>To Buy Back one week of vacation is $1369 per week</v>
      </c>
      <c r="P3" s="1523"/>
      <c r="Q3" s="1523"/>
      <c r="S3" s="786" t="s">
        <v>79</v>
      </c>
      <c r="T3" s="786" t="str">
        <f>"Full Year with buy-back"</f>
        <v>Full Year with buy-back</v>
      </c>
      <c r="U3" s="786" t="str">
        <f>"1/2 Year with buy-back"</f>
        <v>1/2 Year with buy-back</v>
      </c>
      <c r="V3" s="790" t="s">
        <v>79</v>
      </c>
      <c r="W3" s="790" t="str">
        <f>"Full Year with buy-back"</f>
        <v>Full Year with buy-back</v>
      </c>
      <c r="X3" s="790" t="str">
        <f>"1/2 Year with buy-back"</f>
        <v>1/2 Year with buy-back</v>
      </c>
      <c r="Y3" s="786" t="s">
        <v>79</v>
      </c>
      <c r="Z3" s="786" t="str">
        <f>"Full Year with buy-back"</f>
        <v>Full Year with buy-back</v>
      </c>
      <c r="AA3" s="786" t="str">
        <f>"1/2 Year with buy-back"</f>
        <v>1/2 Year with buy-back</v>
      </c>
      <c r="AB3" s="790" t="s">
        <v>79</v>
      </c>
      <c r="AC3" s="790" t="str">
        <f>"Full Year with buy-back"</f>
        <v>Full Year with buy-back</v>
      </c>
      <c r="AD3" s="790" t="str">
        <f>"1/2 Year with buy-back"</f>
        <v>1/2 Year with buy-back</v>
      </c>
    </row>
    <row r="4" spans="1:30" ht="15" customHeight="1" x14ac:dyDescent="0.35">
      <c r="C4" s="370"/>
      <c r="D4" s="349"/>
      <c r="E4" s="875"/>
      <c r="G4" s="704"/>
      <c r="H4" s="705"/>
      <c r="I4" s="1540"/>
      <c r="J4" s="1542"/>
      <c r="K4" s="1542"/>
      <c r="L4" s="1515"/>
      <c r="M4" s="1544"/>
      <c r="N4" s="1546"/>
      <c r="O4" s="1537" t="s">
        <v>507</v>
      </c>
      <c r="P4" s="1538"/>
      <c r="Q4" s="1538"/>
      <c r="S4" s="786"/>
      <c r="T4" s="786"/>
      <c r="U4" s="786"/>
      <c r="V4" s="790"/>
      <c r="W4" s="790"/>
      <c r="X4" s="790"/>
      <c r="Y4" s="786"/>
      <c r="Z4" s="786"/>
      <c r="AA4" s="786"/>
      <c r="AB4" s="790"/>
      <c r="AC4" s="790"/>
      <c r="AD4" s="790"/>
    </row>
    <row r="5" spans="1:30" ht="14.5" customHeight="1" x14ac:dyDescent="0.35">
      <c r="A5" s="1516" t="s">
        <v>266</v>
      </c>
      <c r="B5" s="377" t="s">
        <v>36</v>
      </c>
      <c r="C5" s="371">
        <f>+C7-C6</f>
        <v>40802</v>
      </c>
      <c r="D5" s="371">
        <f>+D7-D6</f>
        <v>40802</v>
      </c>
      <c r="E5" s="143">
        <f>+E7-E6</f>
        <v>42687</v>
      </c>
      <c r="F5" s="1524" t="s">
        <v>375</v>
      </c>
      <c r="G5" s="1525"/>
      <c r="H5" s="1526"/>
      <c r="I5" s="371">
        <f>+I12-I6</f>
        <v>44553</v>
      </c>
      <c r="J5" s="371">
        <f>+I5/12*2</f>
        <v>7425.5</v>
      </c>
      <c r="K5" s="371">
        <f>ROUND((+I5/12*10)+J5,0)</f>
        <v>44553</v>
      </c>
      <c r="L5" s="913">
        <f>+J5*6</f>
        <v>44553</v>
      </c>
      <c r="M5" s="348">
        <f>+N5-(1369*2)</f>
        <v>48437</v>
      </c>
      <c r="N5" s="748">
        <f>+N7-N6</f>
        <v>51175</v>
      </c>
      <c r="O5" s="1537"/>
      <c r="P5" s="1538"/>
      <c r="Q5" s="1538"/>
      <c r="S5" s="348">
        <f>+S7-S6</f>
        <v>56157</v>
      </c>
      <c r="T5" s="348"/>
      <c r="U5" s="348"/>
      <c r="V5" s="371">
        <f>+V7-V6</f>
        <v>76869</v>
      </c>
      <c r="W5" s="371"/>
      <c r="X5" s="371"/>
      <c r="Y5" s="348">
        <f>+Y7-Y6</f>
        <v>57581</v>
      </c>
      <c r="Z5" s="348"/>
      <c r="AA5" s="348"/>
      <c r="AB5" s="371">
        <f>+AB7-AB6</f>
        <v>78293</v>
      </c>
      <c r="AC5" s="371"/>
      <c r="AD5" s="371"/>
    </row>
    <row r="6" spans="1:30" ht="15" thickBot="1" x14ac:dyDescent="0.4">
      <c r="A6" s="1517"/>
      <c r="B6" s="141" t="s">
        <v>125</v>
      </c>
      <c r="C6" s="148">
        <f>ROUND(+C7*0.3,0)</f>
        <v>17487</v>
      </c>
      <c r="D6" s="148">
        <f>ROUND(+D7*0.3,0)</f>
        <v>17487</v>
      </c>
      <c r="E6" s="374">
        <v>20000</v>
      </c>
      <c r="F6" s="1524"/>
      <c r="G6" s="1525"/>
      <c r="H6" s="1526"/>
      <c r="I6" s="374">
        <v>20000</v>
      </c>
      <c r="J6" s="791">
        <f>+I6/12*2</f>
        <v>3333.3333333333335</v>
      </c>
      <c r="K6" s="374">
        <f>ROUND((+I6/12*10)+J6,0)</f>
        <v>20000</v>
      </c>
      <c r="L6" s="914">
        <f>+J6*6</f>
        <v>20000</v>
      </c>
      <c r="M6" s="360">
        <v>20000</v>
      </c>
      <c r="N6" s="749">
        <v>20000</v>
      </c>
      <c r="O6" s="1537"/>
      <c r="P6" s="1538"/>
      <c r="Q6" s="1538"/>
      <c r="S6" s="785">
        <f>+I6</f>
        <v>20000</v>
      </c>
      <c r="T6" s="360"/>
      <c r="U6" s="360"/>
      <c r="V6" s="791">
        <f>+P6</f>
        <v>0</v>
      </c>
      <c r="W6" s="374"/>
      <c r="X6" s="374"/>
      <c r="Y6" s="785">
        <f>+S6</f>
        <v>20000</v>
      </c>
      <c r="Z6" s="360"/>
      <c r="AA6" s="360"/>
      <c r="AB6" s="791">
        <f>+V6</f>
        <v>0</v>
      </c>
      <c r="AC6" s="374"/>
      <c r="AD6" s="374"/>
    </row>
    <row r="7" spans="1:30" ht="14.5" hidden="1" customHeight="1" x14ac:dyDescent="0.35">
      <c r="A7" s="1517"/>
      <c r="B7" s="141" t="s">
        <v>126</v>
      </c>
      <c r="C7" s="372">
        <v>58289</v>
      </c>
      <c r="D7" s="372">
        <v>58289</v>
      </c>
      <c r="E7" s="152">
        <f>+ROUND((62066*1.01),0)</f>
        <v>62687</v>
      </c>
      <c r="F7" s="1524"/>
      <c r="G7" s="1525"/>
      <c r="H7" s="1526"/>
      <c r="I7" s="877">
        <f>+I5+I6</f>
        <v>64553</v>
      </c>
      <c r="J7" s="877">
        <f>+J5+J6</f>
        <v>10758.833333333334</v>
      </c>
      <c r="K7" s="877">
        <f>+K5+K6</f>
        <v>64553</v>
      </c>
      <c r="L7" s="915"/>
      <c r="M7" s="814">
        <f>+M5+M6</f>
        <v>68437</v>
      </c>
      <c r="N7" s="546">
        <v>71175</v>
      </c>
      <c r="O7" s="1537"/>
      <c r="P7" s="1538"/>
      <c r="Q7" s="1538"/>
      <c r="S7" s="789">
        <f>ROUND(+$N7*(1+S1),0)</f>
        <v>76157</v>
      </c>
      <c r="T7" s="347"/>
      <c r="U7" s="347"/>
      <c r="V7" s="792">
        <f>ROUND(+$N7*(1+V1),0)</f>
        <v>76869</v>
      </c>
      <c r="W7" s="372"/>
      <c r="X7" s="372"/>
      <c r="Y7" s="789">
        <f>ROUND(+$N7*(1+Y1),0)</f>
        <v>77581</v>
      </c>
      <c r="Z7" s="347"/>
      <c r="AA7" s="347"/>
      <c r="AB7" s="792">
        <f>ROUND(+$N7*(1+AB1),0)</f>
        <v>78293</v>
      </c>
      <c r="AC7" s="372"/>
      <c r="AD7" s="372"/>
    </row>
    <row r="8" spans="1:30" ht="5.5" hidden="1" customHeight="1" x14ac:dyDescent="0.35">
      <c r="A8" s="1517"/>
      <c r="B8" s="153"/>
      <c r="C8" s="146"/>
      <c r="D8" s="146"/>
      <c r="E8" s="146"/>
      <c r="F8" s="1524"/>
      <c r="G8" s="1525"/>
      <c r="H8" s="1526"/>
      <c r="I8" s="146"/>
      <c r="J8" s="146"/>
      <c r="K8" s="146"/>
      <c r="L8" s="916"/>
      <c r="M8" s="113"/>
      <c r="N8" s="508"/>
      <c r="O8" s="742"/>
      <c r="P8" s="743"/>
      <c r="Q8" s="743"/>
      <c r="R8" s="154"/>
      <c r="S8" s="113"/>
      <c r="T8" s="113"/>
      <c r="U8" s="113"/>
      <c r="V8" s="146"/>
      <c r="W8" s="146"/>
      <c r="X8" s="146"/>
      <c r="Y8" s="113"/>
      <c r="Z8" s="113"/>
      <c r="AA8" s="113"/>
      <c r="AB8" s="146"/>
      <c r="AC8" s="146"/>
      <c r="AD8" s="146"/>
    </row>
    <row r="9" spans="1:30" ht="14.5" hidden="1" customHeight="1" x14ac:dyDescent="0.35">
      <c r="A9" s="1517"/>
      <c r="B9" s="141" t="s">
        <v>132</v>
      </c>
      <c r="C9" s="373">
        <v>1</v>
      </c>
      <c r="D9" s="373">
        <v>0.5</v>
      </c>
      <c r="E9" s="373">
        <v>1</v>
      </c>
      <c r="F9" s="1524"/>
      <c r="G9" s="1525"/>
      <c r="H9" s="1526"/>
      <c r="I9" s="373">
        <v>1</v>
      </c>
      <c r="J9" s="373">
        <v>1</v>
      </c>
      <c r="K9" s="373">
        <v>1</v>
      </c>
      <c r="L9" s="917"/>
      <c r="M9" s="346">
        <v>1</v>
      </c>
      <c r="N9" s="750">
        <v>1</v>
      </c>
      <c r="O9" s="742"/>
      <c r="P9" s="743"/>
      <c r="Q9" s="743"/>
      <c r="R9" s="154"/>
      <c r="S9" s="346">
        <v>1</v>
      </c>
      <c r="T9" s="346">
        <v>1</v>
      </c>
      <c r="U9" s="346">
        <v>0.5</v>
      </c>
      <c r="V9" s="373">
        <v>1</v>
      </c>
      <c r="W9" s="373">
        <v>1</v>
      </c>
      <c r="X9" s="373">
        <v>0.5</v>
      </c>
      <c r="Y9" s="346">
        <v>1</v>
      </c>
      <c r="Z9" s="346">
        <v>1</v>
      </c>
      <c r="AA9" s="346">
        <v>0.5</v>
      </c>
      <c r="AB9" s="373">
        <v>1</v>
      </c>
      <c r="AC9" s="373">
        <v>1</v>
      </c>
      <c r="AD9" s="373">
        <v>0.5</v>
      </c>
    </row>
    <row r="10" spans="1:30" ht="14.5" hidden="1" customHeight="1" x14ac:dyDescent="0.35">
      <c r="A10" s="1517"/>
      <c r="B10" s="153"/>
      <c r="C10" s="146"/>
      <c r="D10" s="146"/>
      <c r="E10" s="146"/>
      <c r="F10" s="1524"/>
      <c r="G10" s="1525"/>
      <c r="H10" s="1526"/>
      <c r="I10" s="146"/>
      <c r="J10" s="146"/>
      <c r="K10" s="146"/>
      <c r="L10" s="916"/>
      <c r="M10" s="113"/>
      <c r="N10" s="508"/>
      <c r="O10" s="742"/>
      <c r="P10" s="743"/>
      <c r="Q10" s="743"/>
      <c r="R10" s="154"/>
      <c r="S10" s="113"/>
      <c r="T10" s="113"/>
      <c r="U10" s="113"/>
      <c r="V10" s="143"/>
      <c r="W10" s="146"/>
      <c r="X10" s="146"/>
      <c r="Y10" s="113"/>
      <c r="Z10" s="113"/>
      <c r="AA10" s="113"/>
      <c r="AB10" s="146"/>
      <c r="AC10" s="146"/>
      <c r="AD10" s="146"/>
    </row>
    <row r="11" spans="1:30" ht="14.5" hidden="1" customHeight="1" x14ac:dyDescent="0.35">
      <c r="A11" s="1517"/>
      <c r="B11" s="141"/>
      <c r="C11" s="358">
        <v>0</v>
      </c>
      <c r="D11" s="358">
        <v>0</v>
      </c>
      <c r="E11" s="159"/>
      <c r="F11" s="1524"/>
      <c r="G11" s="1525"/>
      <c r="H11" s="1526"/>
      <c r="I11" s="358"/>
      <c r="J11" s="358"/>
      <c r="K11" s="358"/>
      <c r="L11" s="918"/>
      <c r="M11" s="362"/>
      <c r="N11" s="540"/>
      <c r="O11" s="742"/>
      <c r="P11" s="743"/>
      <c r="Q11" s="743"/>
      <c r="R11" s="154"/>
      <c r="S11" s="362"/>
      <c r="T11" s="362"/>
      <c r="U11" s="362"/>
      <c r="V11" s="358"/>
      <c r="W11" s="358"/>
      <c r="X11" s="358"/>
      <c r="Y11" s="362"/>
      <c r="Z11" s="362"/>
      <c r="AA11" s="362"/>
      <c r="AB11" s="358"/>
      <c r="AC11" s="358"/>
      <c r="AD11" s="358"/>
    </row>
    <row r="12" spans="1:30" x14ac:dyDescent="0.35">
      <c r="A12" s="1517"/>
      <c r="B12" s="160" t="s">
        <v>142</v>
      </c>
      <c r="C12" s="350">
        <f>ROUND(+C7*(1+C11)*C9,0)</f>
        <v>58289</v>
      </c>
      <c r="D12" s="350">
        <f>ROUND(+D7*(1+D11)*D9,0)</f>
        <v>29145</v>
      </c>
      <c r="E12" s="488">
        <f>ROUND(+E7*(1+E11)*E9,0)</f>
        <v>62687</v>
      </c>
      <c r="F12" s="1524"/>
      <c r="G12" s="1525"/>
      <c r="H12" s="1526"/>
      <c r="I12" s="164">
        <f>66953-2400</f>
        <v>64553</v>
      </c>
      <c r="J12" s="488">
        <f>+J7</f>
        <v>10758.833333333334</v>
      </c>
      <c r="K12" s="488">
        <f>+K7</f>
        <v>64553</v>
      </c>
      <c r="L12" s="919">
        <f>+L5+L6</f>
        <v>64553</v>
      </c>
      <c r="M12" s="117">
        <f>+M5+M6</f>
        <v>68437</v>
      </c>
      <c r="N12" s="515">
        <f>ROUND((+N7*(1+N11)*N9),0)</f>
        <v>71175</v>
      </c>
      <c r="O12" s="742"/>
      <c r="P12" s="904"/>
      <c r="Q12" s="743"/>
      <c r="R12" s="95"/>
      <c r="S12" s="117">
        <f>ROUND((+S7*S9),0)</f>
        <v>76157</v>
      </c>
      <c r="T12" s="117">
        <f>ROUND((+S7*T9)-((S7/52)*2),0)</f>
        <v>73228</v>
      </c>
      <c r="U12" s="117">
        <f>+T12*U9</f>
        <v>36614</v>
      </c>
      <c r="V12" s="350">
        <f>ROUND((+V7*V9),0)</f>
        <v>76869</v>
      </c>
      <c r="W12" s="350">
        <f>ROUND((+V7*W9)-((V7/52)*2),0)</f>
        <v>73913</v>
      </c>
      <c r="X12" s="350">
        <f>+W12*X9</f>
        <v>36956.5</v>
      </c>
      <c r="Y12" s="117">
        <f>ROUND((+Y7*Y9),0)</f>
        <v>77581</v>
      </c>
      <c r="Z12" s="117">
        <f>ROUND((+Y7*Z9)-((Y7/52)*2),0)</f>
        <v>74597</v>
      </c>
      <c r="AA12" s="117">
        <f>+Z12*AA9</f>
        <v>37298.5</v>
      </c>
      <c r="AB12" s="350">
        <f>ROUND((+AB7*AB9),0)</f>
        <v>78293</v>
      </c>
      <c r="AC12" s="350">
        <f>ROUND((+AB7*AC9)-((AB7/52)*2),0)</f>
        <v>75282</v>
      </c>
      <c r="AD12" s="350">
        <f>+AC12*AD9</f>
        <v>37641</v>
      </c>
    </row>
    <row r="13" spans="1:30" ht="7.5" customHeight="1" x14ac:dyDescent="0.35">
      <c r="A13" s="1517"/>
      <c r="B13" s="1527" t="s">
        <v>265</v>
      </c>
      <c r="C13" s="146"/>
      <c r="D13" s="146"/>
      <c r="E13" s="146"/>
      <c r="I13" s="146"/>
      <c r="J13" s="146"/>
      <c r="K13" s="146"/>
      <c r="L13" s="916"/>
      <c r="M13" s="113"/>
      <c r="N13" s="508"/>
      <c r="P13" s="154"/>
      <c r="Q13" s="154"/>
      <c r="R13" s="95"/>
      <c r="S13" s="113"/>
      <c r="T13" s="113"/>
      <c r="U13" s="113"/>
      <c r="V13" s="146"/>
      <c r="W13" s="146"/>
      <c r="X13" s="146"/>
      <c r="Y13" s="113"/>
      <c r="Z13" s="113"/>
      <c r="AA13" s="113"/>
      <c r="AB13" s="146"/>
      <c r="AC13" s="146"/>
      <c r="AD13" s="146"/>
    </row>
    <row r="14" spans="1:30" ht="17" customHeight="1" x14ac:dyDescent="0.35">
      <c r="A14" s="1517"/>
      <c r="B14" s="1527"/>
      <c r="C14" s="165">
        <f>+C28</f>
        <v>0</v>
      </c>
      <c r="D14" s="165">
        <f>+D28</f>
        <v>0</v>
      </c>
      <c r="E14" s="165">
        <f>+E28</f>
        <v>2400</v>
      </c>
      <c r="I14" s="165">
        <f>+I28</f>
        <v>2400</v>
      </c>
      <c r="J14" s="355">
        <v>0</v>
      </c>
      <c r="K14" s="165">
        <f>ROUND((I14/12*10)+J14,0)</f>
        <v>2000</v>
      </c>
      <c r="L14" s="920">
        <v>0</v>
      </c>
      <c r="M14" s="108">
        <f>+M28</f>
        <v>0</v>
      </c>
      <c r="N14" s="516">
        <f>+N28</f>
        <v>0</v>
      </c>
      <c r="O14" s="126"/>
      <c r="P14" s="910"/>
      <c r="Q14" s="782"/>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517"/>
      <c r="B15" s="1527"/>
      <c r="C15" s="146"/>
      <c r="D15" s="146"/>
      <c r="E15" s="146"/>
      <c r="I15" s="146"/>
      <c r="J15" s="146"/>
      <c r="K15" s="146"/>
      <c r="L15" s="916"/>
      <c r="M15" s="113"/>
      <c r="N15" s="508"/>
      <c r="O15" s="783"/>
      <c r="P15" s="783"/>
      <c r="Q15" s="783"/>
      <c r="R15" s="487"/>
      <c r="S15" s="113"/>
      <c r="T15" s="113"/>
      <c r="U15" s="113"/>
      <c r="V15" s="146"/>
      <c r="W15" s="146"/>
      <c r="X15" s="146"/>
      <c r="Y15" s="113"/>
      <c r="Z15" s="113"/>
      <c r="AA15" s="113"/>
      <c r="AB15" s="146"/>
      <c r="AC15" s="146"/>
      <c r="AD15" s="146"/>
    </row>
    <row r="16" spans="1:30" x14ac:dyDescent="0.35">
      <c r="A16" s="1517"/>
      <c r="B16" s="160" t="s">
        <v>142</v>
      </c>
      <c r="C16" s="350">
        <f>+C12+C14</f>
        <v>58289</v>
      </c>
      <c r="D16" s="350">
        <f>+D12+D14</f>
        <v>29145</v>
      </c>
      <c r="E16" s="488">
        <f>+E12+E14</f>
        <v>65087</v>
      </c>
      <c r="I16" s="350">
        <f t="shared" ref="I16:N16" si="1">+I12+I14</f>
        <v>66953</v>
      </c>
      <c r="J16" s="350">
        <f t="shared" si="1"/>
        <v>10758.833333333334</v>
      </c>
      <c r="K16" s="350">
        <f t="shared" si="1"/>
        <v>66553</v>
      </c>
      <c r="L16" s="921">
        <f t="shared" si="1"/>
        <v>64553</v>
      </c>
      <c r="M16" s="117">
        <f t="shared" si="1"/>
        <v>68437</v>
      </c>
      <c r="N16" s="775">
        <f t="shared" si="1"/>
        <v>71175</v>
      </c>
      <c r="O16" s="1528" t="s">
        <v>508</v>
      </c>
      <c r="P16" s="1529"/>
      <c r="Q16" s="1530"/>
      <c r="R16" s="177"/>
      <c r="S16" s="117">
        <f t="shared" ref="S16:AD16" si="2">+S12+S14</f>
        <v>78557</v>
      </c>
      <c r="T16" s="117">
        <f t="shared" si="2"/>
        <v>75628</v>
      </c>
      <c r="U16" s="117">
        <f t="shared" si="2"/>
        <v>37814</v>
      </c>
      <c r="V16" s="350">
        <f t="shared" si="2"/>
        <v>79269</v>
      </c>
      <c r="W16" s="350">
        <f t="shared" si="2"/>
        <v>76313</v>
      </c>
      <c r="X16" s="350">
        <f t="shared" si="2"/>
        <v>38156.5</v>
      </c>
      <c r="Y16" s="117">
        <f t="shared" si="2"/>
        <v>79981</v>
      </c>
      <c r="Z16" s="117">
        <f t="shared" si="2"/>
        <v>76997</v>
      </c>
      <c r="AA16" s="117">
        <f t="shared" si="2"/>
        <v>38498.5</v>
      </c>
      <c r="AB16" s="350">
        <f t="shared" si="2"/>
        <v>80693</v>
      </c>
      <c r="AC16" s="350">
        <f t="shared" si="2"/>
        <v>77682</v>
      </c>
      <c r="AD16" s="350">
        <f t="shared" si="2"/>
        <v>38841</v>
      </c>
    </row>
    <row r="17" spans="1:30" ht="6.5" customHeight="1" x14ac:dyDescent="0.35">
      <c r="A17" s="1517"/>
      <c r="B17" s="153"/>
      <c r="C17" s="146"/>
      <c r="D17" s="146"/>
      <c r="E17" s="146"/>
      <c r="I17" s="146"/>
      <c r="J17" s="146"/>
      <c r="K17" s="146"/>
      <c r="L17" s="916"/>
      <c r="M17" s="113"/>
      <c r="N17" s="774"/>
      <c r="O17" s="1531"/>
      <c r="P17" s="1532"/>
      <c r="Q17" s="1533"/>
      <c r="R17" s="154"/>
      <c r="S17" s="113"/>
      <c r="T17" s="113"/>
      <c r="U17" s="113"/>
      <c r="V17" s="146"/>
      <c r="W17" s="146"/>
      <c r="X17" s="146"/>
      <c r="Y17" s="113"/>
      <c r="Z17" s="113"/>
      <c r="AA17" s="113"/>
      <c r="AB17" s="146"/>
      <c r="AC17" s="146"/>
      <c r="AD17" s="146"/>
    </row>
    <row r="18" spans="1:30" x14ac:dyDescent="0.35">
      <c r="A18" s="1517"/>
      <c r="B18" s="153" t="s">
        <v>411</v>
      </c>
      <c r="C18" s="167">
        <v>7.6499999999999999E-2</v>
      </c>
      <c r="D18" s="167">
        <v>7.6499999999999999E-2</v>
      </c>
      <c r="E18" s="383">
        <v>7.6499999999999999E-2</v>
      </c>
      <c r="F18" s="1519" t="s">
        <v>268</v>
      </c>
      <c r="G18" s="1520"/>
      <c r="H18" s="1521"/>
      <c r="I18" s="383">
        <v>7.6499999999999999E-2</v>
      </c>
      <c r="J18" s="383">
        <v>7.6499999999999999E-2</v>
      </c>
      <c r="K18" s="383">
        <v>7.6499999999999999E-2</v>
      </c>
      <c r="L18" s="922">
        <v>7.6499999999999999E-2</v>
      </c>
      <c r="M18" s="556">
        <v>7.6499999999999999E-2</v>
      </c>
      <c r="N18" s="776">
        <v>7.6499999999999999E-2</v>
      </c>
      <c r="O18" s="1531"/>
      <c r="P18" s="1532"/>
      <c r="Q18" s="1533"/>
      <c r="R18" s="95"/>
      <c r="S18" s="556">
        <v>7.6499999999999999E-2</v>
      </c>
      <c r="T18" s="556">
        <v>7.6499999999999999E-2</v>
      </c>
      <c r="U18" s="556">
        <v>7.6499999999999999E-2</v>
      </c>
      <c r="V18" s="383">
        <v>7.6499999999999999E-2</v>
      </c>
      <c r="W18" s="383">
        <v>7.6499999999999999E-2</v>
      </c>
      <c r="X18" s="383">
        <v>7.6499999999999999E-2</v>
      </c>
      <c r="Y18" s="556">
        <v>7.6499999999999999E-2</v>
      </c>
      <c r="Z18" s="556">
        <v>7.6499999999999999E-2</v>
      </c>
      <c r="AA18" s="556">
        <v>7.6499999999999999E-2</v>
      </c>
      <c r="AB18" s="383">
        <v>7.6499999999999999E-2</v>
      </c>
      <c r="AC18" s="383">
        <v>7.6499999999999999E-2</v>
      </c>
      <c r="AD18" s="383">
        <v>7.6499999999999999E-2</v>
      </c>
    </row>
    <row r="19" spans="1:30" x14ac:dyDescent="0.35">
      <c r="A19" s="1517"/>
      <c r="B19" s="153" t="s">
        <v>232</v>
      </c>
      <c r="C19" s="165">
        <f>ROUND(+C16*C18,0)</f>
        <v>4459</v>
      </c>
      <c r="D19" s="165">
        <f>ROUND(+D16*D18,0)</f>
        <v>2230</v>
      </c>
      <c r="E19" s="165">
        <f>ROUND(+E16*E18,0)</f>
        <v>4979</v>
      </c>
      <c r="F19" s="116"/>
      <c r="I19" s="165">
        <f t="shared" ref="I19:N19" si="3">ROUND(+I16*I18,0)</f>
        <v>5122</v>
      </c>
      <c r="J19" s="165">
        <f t="shared" si="3"/>
        <v>823</v>
      </c>
      <c r="K19" s="165">
        <f t="shared" si="3"/>
        <v>5091</v>
      </c>
      <c r="L19" s="920">
        <f t="shared" si="3"/>
        <v>4938</v>
      </c>
      <c r="M19" s="108">
        <f t="shared" si="3"/>
        <v>5235</v>
      </c>
      <c r="N19" s="773">
        <f t="shared" si="3"/>
        <v>5445</v>
      </c>
      <c r="O19" s="1531"/>
      <c r="P19" s="1532"/>
      <c r="Q19" s="1533"/>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518"/>
      <c r="B20" s="168" t="s">
        <v>144</v>
      </c>
      <c r="C20" s="172">
        <f>+C16+C19</f>
        <v>62748</v>
      </c>
      <c r="D20" s="172">
        <f>+D16+D19</f>
        <v>31375</v>
      </c>
      <c r="E20" s="172">
        <f>+E16+E19</f>
        <v>70066</v>
      </c>
      <c r="I20" s="172">
        <f t="shared" ref="I20:N20" si="5">+I16+I19</f>
        <v>72075</v>
      </c>
      <c r="J20" s="172">
        <f t="shared" si="5"/>
        <v>11581.833333333334</v>
      </c>
      <c r="K20" s="172">
        <f t="shared" si="5"/>
        <v>71644</v>
      </c>
      <c r="L20" s="923">
        <f t="shared" si="5"/>
        <v>69491</v>
      </c>
      <c r="M20" s="119">
        <f t="shared" si="5"/>
        <v>73672</v>
      </c>
      <c r="N20" s="777">
        <f t="shared" si="5"/>
        <v>76620</v>
      </c>
      <c r="O20" s="1534"/>
      <c r="P20" s="1535"/>
      <c r="Q20" s="1536"/>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5"/>
      <c r="X21" s="173"/>
      <c r="Y21" s="173"/>
      <c r="Z21" s="173"/>
      <c r="AA21" s="173"/>
      <c r="AB21" s="173"/>
      <c r="AC21" s="173"/>
      <c r="AD21" s="173"/>
    </row>
    <row r="22" spans="1:30" ht="14.5" hidden="1" customHeight="1" x14ac:dyDescent="0.35">
      <c r="B22" s="139" t="s">
        <v>145</v>
      </c>
      <c r="C22" s="492">
        <f>ROUND(22025*C9,0)</f>
        <v>22025</v>
      </c>
      <c r="D22" s="492">
        <f>ROUND(C22*D$9,0)</f>
        <v>11013</v>
      </c>
      <c r="E22" s="493">
        <v>6000</v>
      </c>
      <c r="F22" s="122"/>
      <c r="G22" s="122"/>
      <c r="H22" s="122"/>
      <c r="I22" s="493">
        <v>6000</v>
      </c>
      <c r="J22" s="493">
        <v>0</v>
      </c>
      <c r="K22" s="492">
        <f>ROUND((I22/12*10)+J22,0)</f>
        <v>5000</v>
      </c>
      <c r="L22" s="493">
        <v>0</v>
      </c>
      <c r="M22" s="702">
        <v>0</v>
      </c>
      <c r="N22" s="751">
        <v>0</v>
      </c>
      <c r="O22" s="154"/>
      <c r="P22" s="154"/>
      <c r="Q22" s="154"/>
      <c r="R22" s="154"/>
      <c r="S22" s="702">
        <v>6000</v>
      </c>
      <c r="T22" s="702">
        <v>6000</v>
      </c>
      <c r="U22" s="702">
        <v>3000</v>
      </c>
      <c r="V22" s="493">
        <v>6000</v>
      </c>
      <c r="W22" s="493">
        <v>6000</v>
      </c>
      <c r="X22" s="493">
        <v>3000</v>
      </c>
      <c r="Y22" s="702">
        <v>6000</v>
      </c>
      <c r="Z22" s="702">
        <v>6000</v>
      </c>
      <c r="AA22" s="702">
        <v>3000</v>
      </c>
      <c r="AB22" s="493">
        <v>6000</v>
      </c>
      <c r="AC22" s="493">
        <v>6000</v>
      </c>
      <c r="AD22" s="493">
        <v>3000</v>
      </c>
    </row>
    <row r="23" spans="1:30" ht="14.5" hidden="1" customHeight="1" x14ac:dyDescent="0.35">
      <c r="A23" s="909"/>
      <c r="B23" s="153" t="s">
        <v>166</v>
      </c>
      <c r="C23" s="146"/>
      <c r="D23" s="103"/>
      <c r="E23" s="355">
        <v>0</v>
      </c>
      <c r="F23" s="257"/>
      <c r="G23" s="257"/>
      <c r="H23" s="257"/>
      <c r="I23" s="355">
        <v>0</v>
      </c>
      <c r="J23" s="355">
        <v>0</v>
      </c>
      <c r="K23" s="165">
        <f>ROUND((I23/12*10)+J23,0)</f>
        <v>0</v>
      </c>
      <c r="L23" s="355">
        <v>0</v>
      </c>
      <c r="M23" s="555">
        <v>0</v>
      </c>
      <c r="N23" s="520">
        <v>0</v>
      </c>
      <c r="O23" s="154"/>
      <c r="P23" s="154"/>
      <c r="Q23" s="154"/>
      <c r="R23" s="154"/>
      <c r="S23" s="555">
        <v>0</v>
      </c>
      <c r="T23" s="555">
        <v>0</v>
      </c>
      <c r="U23" s="555">
        <v>0</v>
      </c>
      <c r="V23" s="355">
        <v>0</v>
      </c>
      <c r="W23" s="355">
        <v>0</v>
      </c>
      <c r="X23" s="355">
        <v>0</v>
      </c>
      <c r="Y23" s="555">
        <v>0</v>
      </c>
      <c r="Z23" s="555">
        <v>0</v>
      </c>
      <c r="AA23" s="555">
        <v>0</v>
      </c>
      <c r="AB23" s="355">
        <v>0</v>
      </c>
      <c r="AC23" s="355">
        <v>0</v>
      </c>
      <c r="AD23" s="355">
        <v>0</v>
      </c>
    </row>
    <row r="24" spans="1:30" x14ac:dyDescent="0.35">
      <c r="A24" s="1516" t="s">
        <v>147</v>
      </c>
      <c r="B24" s="174" t="s">
        <v>147</v>
      </c>
      <c r="C24" s="140"/>
      <c r="D24" s="906"/>
      <c r="E24" s="492">
        <f>+E22+E23</f>
        <v>6000</v>
      </c>
      <c r="F24" s="122"/>
      <c r="G24" s="122"/>
      <c r="H24" s="122"/>
      <c r="I24" s="492">
        <f t="shared" ref="I24:N24" si="7">+I22+I23</f>
        <v>6000</v>
      </c>
      <c r="J24" s="492">
        <f t="shared" si="7"/>
        <v>0</v>
      </c>
      <c r="K24" s="492">
        <f t="shared" si="7"/>
        <v>5000</v>
      </c>
      <c r="L24" s="924">
        <f t="shared" si="7"/>
        <v>0</v>
      </c>
      <c r="M24" s="907">
        <f t="shared" si="7"/>
        <v>0</v>
      </c>
      <c r="N24" s="908">
        <f t="shared" si="7"/>
        <v>0</v>
      </c>
      <c r="O24" s="154"/>
      <c r="P24" s="154"/>
      <c r="Q24" s="154"/>
      <c r="R24" s="154"/>
      <c r="S24" s="557">
        <f t="shared" ref="S24:AD24" si="8">+S22+S23</f>
        <v>6000</v>
      </c>
      <c r="T24" s="557">
        <f t="shared" si="8"/>
        <v>6000</v>
      </c>
      <c r="U24" s="557">
        <f t="shared" si="8"/>
        <v>3000</v>
      </c>
      <c r="V24" s="356">
        <f t="shared" si="8"/>
        <v>6000</v>
      </c>
      <c r="W24" s="356">
        <f t="shared" si="8"/>
        <v>6000</v>
      </c>
      <c r="X24" s="356">
        <f t="shared" si="8"/>
        <v>3000</v>
      </c>
      <c r="Y24" s="557">
        <f t="shared" si="8"/>
        <v>6000</v>
      </c>
      <c r="Z24" s="557">
        <f t="shared" si="8"/>
        <v>6000</v>
      </c>
      <c r="AA24" s="557">
        <f t="shared" si="8"/>
        <v>3000</v>
      </c>
      <c r="AB24" s="356">
        <f t="shared" si="8"/>
        <v>6000</v>
      </c>
      <c r="AC24" s="356">
        <f t="shared" si="8"/>
        <v>6000</v>
      </c>
      <c r="AD24" s="356">
        <f t="shared" si="8"/>
        <v>3000</v>
      </c>
    </row>
    <row r="25" spans="1:30" ht="14.5" customHeight="1" x14ac:dyDescent="0.35">
      <c r="A25" s="1517"/>
      <c r="B25" s="161" t="s">
        <v>502</v>
      </c>
      <c r="C25" s="146"/>
      <c r="D25" s="155"/>
      <c r="E25" s="387">
        <v>0</v>
      </c>
      <c r="F25" s="905"/>
      <c r="G25" s="905"/>
      <c r="H25" s="905"/>
      <c r="I25" s="387">
        <v>0</v>
      </c>
      <c r="J25" s="387">
        <f>835*4</f>
        <v>3340</v>
      </c>
      <c r="K25" s="356">
        <f>ROUND((I25/12*10)+J25,0)</f>
        <v>3340</v>
      </c>
      <c r="L25" s="925">
        <f>835*12*2</f>
        <v>20040</v>
      </c>
      <c r="M25" s="902">
        <f>835*12*2</f>
        <v>20040</v>
      </c>
      <c r="N25" s="903">
        <v>20040</v>
      </c>
      <c r="O25" s="154"/>
      <c r="P25" s="154"/>
      <c r="Q25" s="154"/>
      <c r="R25" s="154"/>
      <c r="S25" s="113"/>
      <c r="T25" s="113"/>
      <c r="U25" s="113"/>
      <c r="V25" s="146"/>
      <c r="W25" s="146"/>
      <c r="X25" s="146"/>
      <c r="Y25" s="113"/>
      <c r="Z25" s="113"/>
      <c r="AA25" s="113"/>
      <c r="AB25" s="146"/>
      <c r="AC25" s="146"/>
      <c r="AD25" s="146"/>
    </row>
    <row r="26" spans="1:30" x14ac:dyDescent="0.35">
      <c r="A26" s="1517"/>
      <c r="B26" s="153" t="s">
        <v>240</v>
      </c>
      <c r="C26" s="146"/>
      <c r="D26" s="103"/>
      <c r="E26" s="355">
        <v>1800</v>
      </c>
      <c r="F26" s="257"/>
      <c r="G26" s="257"/>
      <c r="H26" s="257"/>
      <c r="I26" s="355">
        <v>1800</v>
      </c>
      <c r="J26" s="355">
        <v>0</v>
      </c>
      <c r="K26" s="165">
        <f>+I26/12*10</f>
        <v>1500</v>
      </c>
      <c r="L26" s="926">
        <v>0</v>
      </c>
      <c r="M26" s="555">
        <v>0</v>
      </c>
      <c r="N26" s="520">
        <v>0</v>
      </c>
      <c r="O26" s="154"/>
      <c r="P26" s="154"/>
      <c r="Q26" s="154"/>
      <c r="R26" s="154"/>
      <c r="S26" s="555">
        <v>1800</v>
      </c>
      <c r="T26" s="555">
        <v>1800</v>
      </c>
      <c r="U26" s="555">
        <v>900</v>
      </c>
      <c r="V26" s="355">
        <v>1800</v>
      </c>
      <c r="W26" s="355">
        <v>1800</v>
      </c>
      <c r="X26" s="355">
        <v>900</v>
      </c>
      <c r="Y26" s="555">
        <v>1800</v>
      </c>
      <c r="Z26" s="555">
        <v>1800</v>
      </c>
      <c r="AA26" s="555">
        <v>900</v>
      </c>
      <c r="AB26" s="355">
        <v>1800</v>
      </c>
      <c r="AC26" s="355">
        <v>1800</v>
      </c>
      <c r="AD26" s="355">
        <v>900</v>
      </c>
    </row>
    <row r="27" spans="1:30" x14ac:dyDescent="0.35">
      <c r="A27" s="1517"/>
      <c r="B27" s="153" t="s">
        <v>405</v>
      </c>
      <c r="C27" s="146"/>
      <c r="D27" s="699"/>
      <c r="E27" s="383">
        <v>0.25</v>
      </c>
      <c r="F27" s="124"/>
      <c r="G27" s="257"/>
      <c r="H27" s="257"/>
      <c r="I27" s="383">
        <v>0.25</v>
      </c>
      <c r="J27" s="383">
        <v>0.25</v>
      </c>
      <c r="K27" s="383">
        <v>0.25</v>
      </c>
      <c r="L27" s="922">
        <v>0.25</v>
      </c>
      <c r="M27" s="556">
        <v>0.25</v>
      </c>
      <c r="N27" s="523">
        <v>0.25</v>
      </c>
      <c r="O27" s="154"/>
      <c r="P27" s="154"/>
      <c r="Q27" s="154"/>
      <c r="R27" s="154"/>
      <c r="S27" s="556">
        <v>0.25</v>
      </c>
      <c r="T27" s="556">
        <v>0.25</v>
      </c>
      <c r="U27" s="556">
        <v>0.25</v>
      </c>
      <c r="V27" s="383">
        <v>0.25</v>
      </c>
      <c r="W27" s="383">
        <v>0.25</v>
      </c>
      <c r="X27" s="383">
        <v>0.25</v>
      </c>
      <c r="Y27" s="556">
        <v>0.25</v>
      </c>
      <c r="Z27" s="556">
        <v>0.25</v>
      </c>
      <c r="AA27" s="556">
        <v>0.25</v>
      </c>
      <c r="AB27" s="383">
        <v>0.25</v>
      </c>
      <c r="AC27" s="383">
        <v>0.25</v>
      </c>
      <c r="AD27" s="383">
        <v>0.25</v>
      </c>
    </row>
    <row r="28" spans="1:30" x14ac:dyDescent="0.35">
      <c r="A28" s="1517"/>
      <c r="B28" s="161" t="s">
        <v>264</v>
      </c>
      <c r="C28" s="387">
        <v>0</v>
      </c>
      <c r="D28" s="386">
        <v>0</v>
      </c>
      <c r="E28" s="356">
        <f>ROUND(+E26/(1-E27),0)</f>
        <v>2400</v>
      </c>
      <c r="F28" s="124"/>
      <c r="G28" s="257"/>
      <c r="H28" s="257"/>
      <c r="I28" s="356">
        <f t="shared" ref="I28:N28" si="9">ROUND(+I26/(1-I27),0)</f>
        <v>2400</v>
      </c>
      <c r="J28" s="356">
        <f t="shared" si="9"/>
        <v>0</v>
      </c>
      <c r="K28" s="356">
        <f t="shared" si="9"/>
        <v>2000</v>
      </c>
      <c r="L28" s="927">
        <f t="shared" si="9"/>
        <v>0</v>
      </c>
      <c r="M28" s="557">
        <f t="shared" si="9"/>
        <v>0</v>
      </c>
      <c r="N28" s="525">
        <f t="shared" si="9"/>
        <v>0</v>
      </c>
      <c r="O28" s="154"/>
      <c r="P28" s="154"/>
      <c r="Q28" s="154"/>
      <c r="R28" s="154"/>
      <c r="S28" s="557">
        <f t="shared" ref="S28:AD28" si="10">ROUND(+S26/(1-S27),0)</f>
        <v>2400</v>
      </c>
      <c r="T28" s="557">
        <f t="shared" si="10"/>
        <v>2400</v>
      </c>
      <c r="U28" s="557">
        <f t="shared" si="10"/>
        <v>1200</v>
      </c>
      <c r="V28" s="356">
        <f t="shared" si="10"/>
        <v>2400</v>
      </c>
      <c r="W28" s="356">
        <f t="shared" si="10"/>
        <v>2400</v>
      </c>
      <c r="X28" s="356">
        <f t="shared" si="10"/>
        <v>1200</v>
      </c>
      <c r="Y28" s="557">
        <f t="shared" si="10"/>
        <v>2400</v>
      </c>
      <c r="Z28" s="557">
        <f t="shared" si="10"/>
        <v>2400</v>
      </c>
      <c r="AA28" s="557">
        <f t="shared" si="10"/>
        <v>1200</v>
      </c>
      <c r="AB28" s="356">
        <f t="shared" si="10"/>
        <v>2400</v>
      </c>
      <c r="AC28" s="356">
        <f t="shared" si="10"/>
        <v>2400</v>
      </c>
      <c r="AD28" s="356">
        <f t="shared" si="10"/>
        <v>1200</v>
      </c>
    </row>
    <row r="29" spans="1:30" x14ac:dyDescent="0.35">
      <c r="A29" s="1518"/>
      <c r="B29" s="168" t="s">
        <v>148</v>
      </c>
      <c r="C29" s="489">
        <v>0</v>
      </c>
      <c r="D29" s="700">
        <v>0</v>
      </c>
      <c r="E29" s="172">
        <f>+E24-E26</f>
        <v>4200</v>
      </c>
      <c r="F29" s="257"/>
      <c r="G29" s="257"/>
      <c r="H29" s="257"/>
      <c r="I29" s="172">
        <f t="shared" ref="I29:N29" si="11">+I24-I26</f>
        <v>4200</v>
      </c>
      <c r="J29" s="172">
        <f t="shared" si="11"/>
        <v>0</v>
      </c>
      <c r="K29" s="172">
        <f t="shared" si="11"/>
        <v>3500</v>
      </c>
      <c r="L29" s="923">
        <f t="shared" si="11"/>
        <v>0</v>
      </c>
      <c r="M29" s="119">
        <f t="shared" si="11"/>
        <v>0</v>
      </c>
      <c r="N29" s="518">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516" t="s">
        <v>127</v>
      </c>
      <c r="B31" s="174" t="s">
        <v>406</v>
      </c>
      <c r="C31" s="375">
        <v>0.1</v>
      </c>
      <c r="D31" s="375">
        <v>0.1</v>
      </c>
      <c r="E31" s="357">
        <v>0.1</v>
      </c>
      <c r="I31" s="357">
        <v>0.1</v>
      </c>
      <c r="J31" s="357">
        <v>0.1</v>
      </c>
      <c r="K31" s="357"/>
      <c r="L31" s="928">
        <v>0.1</v>
      </c>
      <c r="M31" s="551">
        <v>0.1</v>
      </c>
      <c r="N31" s="534">
        <v>0.1</v>
      </c>
      <c r="O31" s="154"/>
      <c r="P31" s="154"/>
      <c r="Q31" s="154"/>
      <c r="R31" s="154"/>
      <c r="S31" s="551">
        <v>0.1</v>
      </c>
      <c r="T31" s="551">
        <v>0.1</v>
      </c>
      <c r="U31" s="551">
        <v>0.1</v>
      </c>
      <c r="V31" s="357">
        <v>0.1</v>
      </c>
      <c r="W31" s="357">
        <v>0.1</v>
      </c>
      <c r="X31" s="357">
        <v>0.1</v>
      </c>
      <c r="Y31" s="551">
        <v>0.1</v>
      </c>
      <c r="Z31" s="551">
        <v>0.1</v>
      </c>
      <c r="AA31" s="551">
        <v>0.1</v>
      </c>
      <c r="AB31" s="357">
        <v>0.1</v>
      </c>
      <c r="AC31" s="357">
        <v>0.1</v>
      </c>
      <c r="AD31" s="357">
        <v>0.1</v>
      </c>
    </row>
    <row r="32" spans="1:30" x14ac:dyDescent="0.35">
      <c r="A32" s="1517"/>
      <c r="B32" s="153" t="s">
        <v>152</v>
      </c>
      <c r="C32" s="143">
        <f>+C20</f>
        <v>62748</v>
      </c>
      <c r="D32" s="143">
        <f>+D20</f>
        <v>31375</v>
      </c>
      <c r="E32" s="376">
        <f>+E20</f>
        <v>70066</v>
      </c>
      <c r="I32" s="376">
        <f>+I20</f>
        <v>72075</v>
      </c>
      <c r="J32" s="376">
        <f>+J20</f>
        <v>11581.833333333334</v>
      </c>
      <c r="K32" s="376">
        <f>ROUND((I32/12*10)+J32,0)</f>
        <v>71644</v>
      </c>
      <c r="L32" s="929">
        <f>+L20</f>
        <v>69491</v>
      </c>
      <c r="M32" s="364">
        <f>+M20</f>
        <v>73672</v>
      </c>
      <c r="N32" s="706">
        <f>+N20</f>
        <v>76620</v>
      </c>
      <c r="O32" s="154"/>
      <c r="P32" s="154"/>
      <c r="Q32" s="154"/>
      <c r="R32" s="154"/>
      <c r="S32" s="364">
        <f t="shared" ref="S32:AD32" si="13">+S20</f>
        <v>84567</v>
      </c>
      <c r="T32" s="364">
        <f t="shared" si="13"/>
        <v>81414</v>
      </c>
      <c r="U32" s="364">
        <f t="shared" si="13"/>
        <v>40707</v>
      </c>
      <c r="V32" s="376">
        <f t="shared" si="13"/>
        <v>85333</v>
      </c>
      <c r="W32" s="376">
        <f t="shared" si="13"/>
        <v>82151</v>
      </c>
      <c r="X32" s="376">
        <f t="shared" si="13"/>
        <v>41075.5</v>
      </c>
      <c r="Y32" s="364">
        <f t="shared" si="13"/>
        <v>86100</v>
      </c>
      <c r="Z32" s="364">
        <f t="shared" si="13"/>
        <v>82887</v>
      </c>
      <c r="AA32" s="364">
        <f t="shared" si="13"/>
        <v>41443.5</v>
      </c>
      <c r="AB32" s="376">
        <f t="shared" si="13"/>
        <v>86866</v>
      </c>
      <c r="AC32" s="376">
        <f t="shared" si="13"/>
        <v>83625</v>
      </c>
      <c r="AD32" s="376">
        <f t="shared" si="13"/>
        <v>41812</v>
      </c>
    </row>
    <row r="33" spans="1:30" x14ac:dyDescent="0.35">
      <c r="A33" s="1517"/>
      <c r="B33" s="153" t="s">
        <v>127</v>
      </c>
      <c r="C33" s="143">
        <f>ROUND(+C32*C31,0)</f>
        <v>6275</v>
      </c>
      <c r="D33" s="143">
        <f>ROUND(+D32*D31,0)</f>
        <v>3138</v>
      </c>
      <c r="E33" s="376">
        <f>ROUND(+E32*E31,0)</f>
        <v>7007</v>
      </c>
      <c r="I33" s="376">
        <f>ROUND(+I32*I31,0)</f>
        <v>7208</v>
      </c>
      <c r="J33" s="376">
        <f>ROUND(+J32*J31,0)</f>
        <v>1158</v>
      </c>
      <c r="K33" s="376">
        <f>ROUND((I33/12*10)+J33,0)</f>
        <v>7165</v>
      </c>
      <c r="L33" s="929">
        <f>ROUND(+L32*L31,0)</f>
        <v>6949</v>
      </c>
      <c r="M33" s="364">
        <f>ROUND(+M32*M31,0)</f>
        <v>7367</v>
      </c>
      <c r="N33" s="706">
        <f>ROUND(+N32*N31,0)</f>
        <v>7662</v>
      </c>
      <c r="S33" s="364">
        <f t="shared" ref="S33:AD33" si="14">ROUND(+S32*S31,0)</f>
        <v>8457</v>
      </c>
      <c r="T33" s="364">
        <f t="shared" si="14"/>
        <v>8141</v>
      </c>
      <c r="U33" s="364">
        <f t="shared" si="14"/>
        <v>4071</v>
      </c>
      <c r="V33" s="376">
        <f t="shared" si="14"/>
        <v>8533</v>
      </c>
      <c r="W33" s="376">
        <f t="shared" si="14"/>
        <v>8215</v>
      </c>
      <c r="X33" s="376">
        <f t="shared" si="14"/>
        <v>4108</v>
      </c>
      <c r="Y33" s="364">
        <f t="shared" si="14"/>
        <v>8610</v>
      </c>
      <c r="Z33" s="364">
        <f t="shared" si="14"/>
        <v>8289</v>
      </c>
      <c r="AA33" s="364">
        <f t="shared" si="14"/>
        <v>4144</v>
      </c>
      <c r="AB33" s="376">
        <f t="shared" si="14"/>
        <v>8687</v>
      </c>
      <c r="AC33" s="376">
        <f t="shared" si="14"/>
        <v>8363</v>
      </c>
      <c r="AD33" s="376">
        <f t="shared" si="14"/>
        <v>4181</v>
      </c>
    </row>
    <row r="34" spans="1:30" x14ac:dyDescent="0.35">
      <c r="A34" s="1517"/>
      <c r="B34" s="153" t="s">
        <v>150</v>
      </c>
      <c r="C34" s="143">
        <f>+C29</f>
        <v>0</v>
      </c>
      <c r="D34" s="143">
        <f>+D29</f>
        <v>0</v>
      </c>
      <c r="E34" s="376">
        <f>+E29</f>
        <v>4200</v>
      </c>
      <c r="I34" s="376">
        <f>+I29</f>
        <v>4200</v>
      </c>
      <c r="J34" s="376">
        <f>+J29</f>
        <v>0</v>
      </c>
      <c r="K34" s="376">
        <f>ROUND((I34/12*10)+J34,0)</f>
        <v>3500</v>
      </c>
      <c r="L34" s="929">
        <f>+L29</f>
        <v>0</v>
      </c>
      <c r="M34" s="364">
        <f>+M29</f>
        <v>0</v>
      </c>
      <c r="N34" s="706">
        <f>+N29</f>
        <v>0</v>
      </c>
      <c r="S34" s="364">
        <f t="shared" ref="S34:AD34" si="15">+S29</f>
        <v>4200</v>
      </c>
      <c r="T34" s="364">
        <f t="shared" si="15"/>
        <v>4200</v>
      </c>
      <c r="U34" s="364">
        <f t="shared" si="15"/>
        <v>2100</v>
      </c>
      <c r="V34" s="376">
        <f t="shared" si="15"/>
        <v>4200</v>
      </c>
      <c r="W34" s="376">
        <f t="shared" si="15"/>
        <v>4200</v>
      </c>
      <c r="X34" s="376">
        <f t="shared" si="15"/>
        <v>2100</v>
      </c>
      <c r="Y34" s="364">
        <f t="shared" si="15"/>
        <v>4200</v>
      </c>
      <c r="Z34" s="364">
        <f t="shared" si="15"/>
        <v>4200</v>
      </c>
      <c r="AA34" s="364">
        <f t="shared" si="15"/>
        <v>2100</v>
      </c>
      <c r="AB34" s="376">
        <f t="shared" si="15"/>
        <v>4200</v>
      </c>
      <c r="AC34" s="376">
        <f t="shared" si="15"/>
        <v>4200</v>
      </c>
      <c r="AD34" s="376">
        <f t="shared" si="15"/>
        <v>2100</v>
      </c>
    </row>
    <row r="35" spans="1:30" x14ac:dyDescent="0.35">
      <c r="A35" s="1517"/>
      <c r="B35" s="153" t="s">
        <v>242</v>
      </c>
      <c r="C35" s="143"/>
      <c r="D35" s="143"/>
      <c r="E35" s="376">
        <f>+E34+E33</f>
        <v>11207</v>
      </c>
      <c r="I35" s="376">
        <f t="shared" ref="I35:N35" si="16">+I34+I33</f>
        <v>11408</v>
      </c>
      <c r="J35" s="376">
        <f t="shared" si="16"/>
        <v>1158</v>
      </c>
      <c r="K35" s="376">
        <f t="shared" si="16"/>
        <v>10665</v>
      </c>
      <c r="L35" s="929">
        <f t="shared" si="16"/>
        <v>6949</v>
      </c>
      <c r="M35" s="364">
        <f t="shared" si="16"/>
        <v>7367</v>
      </c>
      <c r="N35" s="706">
        <f t="shared" si="16"/>
        <v>7662</v>
      </c>
      <c r="S35" s="364">
        <f t="shared" ref="S35:AD35" si="17">+S34+S33</f>
        <v>12657</v>
      </c>
      <c r="T35" s="364">
        <f t="shared" si="17"/>
        <v>12341</v>
      </c>
      <c r="U35" s="364">
        <f t="shared" si="17"/>
        <v>6171</v>
      </c>
      <c r="V35" s="376">
        <f t="shared" si="17"/>
        <v>12733</v>
      </c>
      <c r="W35" s="376">
        <f t="shared" si="17"/>
        <v>12415</v>
      </c>
      <c r="X35" s="376">
        <f t="shared" si="17"/>
        <v>6208</v>
      </c>
      <c r="Y35" s="364">
        <f t="shared" si="17"/>
        <v>12810</v>
      </c>
      <c r="Z35" s="364">
        <f t="shared" si="17"/>
        <v>12489</v>
      </c>
      <c r="AA35" s="364">
        <f t="shared" si="17"/>
        <v>6244</v>
      </c>
      <c r="AB35" s="376">
        <f t="shared" si="17"/>
        <v>12887</v>
      </c>
      <c r="AC35" s="376">
        <f t="shared" si="17"/>
        <v>12563</v>
      </c>
      <c r="AD35" s="376">
        <f t="shared" si="17"/>
        <v>6281</v>
      </c>
    </row>
    <row r="36" spans="1:30" x14ac:dyDescent="0.35">
      <c r="A36" s="1517"/>
      <c r="B36" s="153" t="s">
        <v>154</v>
      </c>
      <c r="C36" s="760">
        <f>+C38/C32</f>
        <v>0.10000318735258494</v>
      </c>
      <c r="D36" s="760">
        <f>+D38/D32</f>
        <v>0.10001593625498008</v>
      </c>
      <c r="E36" s="548">
        <f>+E35/E20</f>
        <v>0.15994919076299488</v>
      </c>
      <c r="I36" s="548">
        <f>+I35/I20</f>
        <v>0.15827956989247313</v>
      </c>
      <c r="J36" s="548">
        <f>+J35/J20</f>
        <v>9.9984170612021694E-2</v>
      </c>
      <c r="K36" s="548">
        <f>+K35/K20</f>
        <v>0.14886103511808385</v>
      </c>
      <c r="L36" s="930">
        <f>IF(L20=0,0,+L35/L20)</f>
        <v>9.9998560964729241E-2</v>
      </c>
      <c r="M36" s="382">
        <f>IF(M20=0,0,+M35/M20)</f>
        <v>9.9997285264415245E-2</v>
      </c>
      <c r="N36" s="513">
        <f>+N35/N20</f>
        <v>0.1</v>
      </c>
      <c r="S36" s="382">
        <f t="shared" ref="S36:AD36" si="18">+S35/S20</f>
        <v>0.14966831033381817</v>
      </c>
      <c r="T36" s="382">
        <f t="shared" si="18"/>
        <v>0.15158326577738473</v>
      </c>
      <c r="U36" s="382">
        <f t="shared" si="18"/>
        <v>0.15159554867713171</v>
      </c>
      <c r="V36" s="548">
        <f t="shared" si="18"/>
        <v>0.14921542662276024</v>
      </c>
      <c r="W36" s="548">
        <f t="shared" si="18"/>
        <v>0.15112414943214325</v>
      </c>
      <c r="X36" s="548">
        <f t="shared" si="18"/>
        <v>0.15113632213850106</v>
      </c>
      <c r="Y36" s="382">
        <f t="shared" si="18"/>
        <v>0.14878048780487804</v>
      </c>
      <c r="Z36" s="382">
        <f t="shared" si="18"/>
        <v>0.15067501538238806</v>
      </c>
      <c r="AA36" s="382">
        <f t="shared" si="18"/>
        <v>0.15066295076429356</v>
      </c>
      <c r="AB36" s="548">
        <f t="shared" si="18"/>
        <v>0.14835493748992701</v>
      </c>
      <c r="AC36" s="548">
        <f t="shared" si="18"/>
        <v>0.15023019431988041</v>
      </c>
      <c r="AD36" s="548">
        <f t="shared" si="18"/>
        <v>0.15022003252654739</v>
      </c>
    </row>
    <row r="37" spans="1:30" x14ac:dyDescent="0.35">
      <c r="A37" s="1517"/>
      <c r="B37" s="153" t="s">
        <v>241</v>
      </c>
      <c r="C37" s="143"/>
      <c r="D37" s="143"/>
      <c r="E37" s="549">
        <v>0.16</v>
      </c>
      <c r="I37" s="549">
        <v>0.16</v>
      </c>
      <c r="J37" s="549">
        <v>0.1</v>
      </c>
      <c r="K37" s="549"/>
      <c r="L37" s="931">
        <v>0.1</v>
      </c>
      <c r="M37" s="554">
        <v>0.1</v>
      </c>
      <c r="N37" s="514">
        <v>0.1</v>
      </c>
      <c r="S37" s="554">
        <v>0.155</v>
      </c>
      <c r="T37" s="554">
        <v>0.155</v>
      </c>
      <c r="U37" s="554">
        <v>0.155</v>
      </c>
      <c r="V37" s="549">
        <v>0.15</v>
      </c>
      <c r="W37" s="549">
        <v>0.155</v>
      </c>
      <c r="X37" s="549">
        <v>0.155</v>
      </c>
      <c r="Y37" s="554">
        <v>0.15</v>
      </c>
      <c r="Z37" s="554">
        <v>0.155</v>
      </c>
      <c r="AA37" s="554">
        <v>0.155</v>
      </c>
      <c r="AB37" s="549">
        <v>0.15</v>
      </c>
      <c r="AC37" s="549">
        <v>0.155</v>
      </c>
      <c r="AD37" s="549">
        <v>0.155</v>
      </c>
    </row>
    <row r="38" spans="1:30" x14ac:dyDescent="0.35">
      <c r="A38" s="1518"/>
      <c r="B38" s="168" t="s">
        <v>151</v>
      </c>
      <c r="C38" s="172">
        <f>+C33+C34</f>
        <v>6275</v>
      </c>
      <c r="D38" s="172">
        <f>+D33+D34</f>
        <v>3138</v>
      </c>
      <c r="E38" s="353">
        <f>ROUND(+E37*E20,0)</f>
        <v>11211</v>
      </c>
      <c r="I38" s="353">
        <f>ROUND(+I37*I20,0)</f>
        <v>11532</v>
      </c>
      <c r="J38" s="353">
        <f>ROUND(+J37*J20,0)</f>
        <v>1158</v>
      </c>
      <c r="K38" s="353">
        <f>+K35</f>
        <v>10665</v>
      </c>
      <c r="L38" s="932">
        <f>ROUND(+L37*L20,0)</f>
        <v>6949</v>
      </c>
      <c r="M38" s="193">
        <f>ROUND(+M37*M20,0)</f>
        <v>7367</v>
      </c>
      <c r="N38" s="544">
        <f>ROUND(+N37*N20,0)</f>
        <v>7662</v>
      </c>
      <c r="P38" s="116"/>
      <c r="S38" s="193">
        <f t="shared" ref="S38:AD38" si="19">ROUND(+S37*S20,0)</f>
        <v>13108</v>
      </c>
      <c r="T38" s="193">
        <f t="shared" si="19"/>
        <v>12619</v>
      </c>
      <c r="U38" s="193">
        <f t="shared" si="19"/>
        <v>6310</v>
      </c>
      <c r="V38" s="353">
        <f t="shared" si="19"/>
        <v>12800</v>
      </c>
      <c r="W38" s="353">
        <f t="shared" si="19"/>
        <v>12733</v>
      </c>
      <c r="X38" s="353">
        <f t="shared" si="19"/>
        <v>6367</v>
      </c>
      <c r="Y38" s="193">
        <f t="shared" si="19"/>
        <v>12915</v>
      </c>
      <c r="Z38" s="193">
        <f t="shared" si="19"/>
        <v>12847</v>
      </c>
      <c r="AA38" s="193">
        <f t="shared" si="19"/>
        <v>6424</v>
      </c>
      <c r="AB38" s="353">
        <f t="shared" si="19"/>
        <v>13030</v>
      </c>
      <c r="AC38" s="353">
        <f t="shared" si="19"/>
        <v>12962</v>
      </c>
      <c r="AD38" s="353">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516" t="s">
        <v>128</v>
      </c>
      <c r="B40" s="139" t="s">
        <v>407</v>
      </c>
      <c r="C40" s="375">
        <v>1.4999999999999999E-2</v>
      </c>
      <c r="D40" s="375">
        <v>1.4999999999999999E-2</v>
      </c>
      <c r="E40" s="375">
        <v>1.4999999999999999E-2</v>
      </c>
      <c r="I40" s="375">
        <v>1.4999999999999999E-2</v>
      </c>
      <c r="J40" s="375">
        <v>1.4999999999999999E-2</v>
      </c>
      <c r="K40" s="375">
        <v>1.4999999999999999E-2</v>
      </c>
      <c r="L40" s="933">
        <v>1.4999999999999999E-2</v>
      </c>
      <c r="M40" s="361">
        <v>1.4999999999999999E-2</v>
      </c>
      <c r="N40" s="752">
        <v>1.4999999999999999E-2</v>
      </c>
      <c r="S40" s="361">
        <v>1.4999999999999999E-2</v>
      </c>
      <c r="T40" s="361">
        <v>1.4999999999999999E-2</v>
      </c>
      <c r="U40" s="361">
        <v>1.4999999999999999E-2</v>
      </c>
      <c r="V40" s="375">
        <v>1.4999999999999999E-2</v>
      </c>
      <c r="W40" s="375">
        <v>1.4999999999999999E-2</v>
      </c>
      <c r="X40" s="375">
        <v>1.4999999999999999E-2</v>
      </c>
      <c r="Y40" s="361">
        <v>1.4999999999999999E-2</v>
      </c>
      <c r="Z40" s="361">
        <v>1.4999999999999999E-2</v>
      </c>
      <c r="AA40" s="361">
        <v>1.4999999999999999E-2</v>
      </c>
      <c r="AB40" s="375">
        <v>1.4999999999999999E-2</v>
      </c>
      <c r="AC40" s="375">
        <v>1.4999999999999999E-2</v>
      </c>
      <c r="AD40" s="375">
        <v>1.4999999999999999E-2</v>
      </c>
    </row>
    <row r="41" spans="1:30" x14ac:dyDescent="0.35">
      <c r="A41" s="1517"/>
      <c r="B41" s="153" t="s">
        <v>408</v>
      </c>
      <c r="C41" s="358">
        <v>7.0000000000000001E-3</v>
      </c>
      <c r="D41" s="358">
        <v>7.0000000000000001E-3</v>
      </c>
      <c r="E41" s="358">
        <v>7.0000000000000001E-3</v>
      </c>
      <c r="I41" s="358">
        <v>7.0000000000000001E-3</v>
      </c>
      <c r="J41" s="358">
        <v>7.0000000000000001E-3</v>
      </c>
      <c r="K41" s="358">
        <v>7.0000000000000001E-3</v>
      </c>
      <c r="L41" s="918">
        <v>7.0000000000000001E-3</v>
      </c>
      <c r="M41" s="362">
        <v>7.0000000000000001E-3</v>
      </c>
      <c r="N41" s="540">
        <v>7.0000000000000001E-3</v>
      </c>
      <c r="P41" s="116"/>
      <c r="S41" s="362">
        <v>7.0000000000000001E-3</v>
      </c>
      <c r="T41" s="362">
        <v>7.0000000000000001E-3</v>
      </c>
      <c r="U41" s="362">
        <v>7.0000000000000001E-3</v>
      </c>
      <c r="V41" s="358">
        <v>7.0000000000000001E-3</v>
      </c>
      <c r="W41" s="358">
        <v>7.0000000000000001E-3</v>
      </c>
      <c r="X41" s="358">
        <v>7.0000000000000001E-3</v>
      </c>
      <c r="Y41" s="362">
        <v>7.0000000000000001E-3</v>
      </c>
      <c r="Z41" s="362">
        <v>7.0000000000000001E-3</v>
      </c>
      <c r="AA41" s="362">
        <v>7.0000000000000001E-3</v>
      </c>
      <c r="AB41" s="358">
        <v>7.0000000000000001E-3</v>
      </c>
      <c r="AC41" s="358">
        <v>7.0000000000000001E-3</v>
      </c>
      <c r="AD41" s="358">
        <v>7.0000000000000001E-3</v>
      </c>
    </row>
    <row r="42" spans="1:30" hidden="1" x14ac:dyDescent="0.35">
      <c r="A42" s="1517"/>
      <c r="B42" s="153" t="s">
        <v>235</v>
      </c>
      <c r="C42" s="358">
        <v>7.0000000000000001E-3</v>
      </c>
      <c r="D42" s="358">
        <v>7.0000000000000001E-3</v>
      </c>
      <c r="E42" s="358">
        <v>0</v>
      </c>
      <c r="F42" s="1511" t="s">
        <v>267</v>
      </c>
      <c r="G42" s="1512"/>
      <c r="H42" s="1513"/>
      <c r="I42" s="358">
        <v>0</v>
      </c>
      <c r="J42" s="358">
        <v>0</v>
      </c>
      <c r="K42" s="358">
        <v>0</v>
      </c>
      <c r="L42" s="918">
        <v>0</v>
      </c>
      <c r="M42" s="362">
        <v>0</v>
      </c>
      <c r="N42" s="540">
        <v>0</v>
      </c>
      <c r="S42" s="362">
        <v>0</v>
      </c>
      <c r="T42" s="362">
        <v>0</v>
      </c>
      <c r="U42" s="362">
        <v>0</v>
      </c>
      <c r="V42" s="358">
        <v>0</v>
      </c>
      <c r="W42" s="358">
        <v>0</v>
      </c>
      <c r="X42" s="358">
        <v>0</v>
      </c>
      <c r="Y42" s="362">
        <v>0</v>
      </c>
      <c r="Z42" s="362">
        <v>0</v>
      </c>
      <c r="AA42" s="362">
        <v>0</v>
      </c>
      <c r="AB42" s="358">
        <v>0</v>
      </c>
      <c r="AC42" s="358">
        <v>0</v>
      </c>
      <c r="AD42" s="358">
        <v>0</v>
      </c>
    </row>
    <row r="43" spans="1:30" x14ac:dyDescent="0.35">
      <c r="A43" s="1517"/>
      <c r="B43" s="153" t="s">
        <v>409</v>
      </c>
      <c r="C43" s="359">
        <f>+C40+C41+C42</f>
        <v>2.8999999999999998E-2</v>
      </c>
      <c r="D43" s="359">
        <f>+D40+D41+D42</f>
        <v>2.8999999999999998E-2</v>
      </c>
      <c r="E43" s="359">
        <f>+E40+E41+E42</f>
        <v>2.1999999999999999E-2</v>
      </c>
      <c r="I43" s="359">
        <f t="shared" ref="I43:N43" si="20">+I40+I41+I42</f>
        <v>2.1999999999999999E-2</v>
      </c>
      <c r="J43" s="359">
        <f t="shared" si="20"/>
        <v>2.1999999999999999E-2</v>
      </c>
      <c r="K43" s="359">
        <f t="shared" si="20"/>
        <v>2.1999999999999999E-2</v>
      </c>
      <c r="L43" s="934">
        <f t="shared" si="20"/>
        <v>2.1999999999999999E-2</v>
      </c>
      <c r="M43" s="363">
        <f t="shared" si="20"/>
        <v>2.1999999999999999E-2</v>
      </c>
      <c r="N43" s="541">
        <f t="shared" si="20"/>
        <v>2.1999999999999999E-2</v>
      </c>
      <c r="S43" s="363">
        <f t="shared" ref="S43:AD43" si="21">+S40+S41+S42</f>
        <v>2.1999999999999999E-2</v>
      </c>
      <c r="T43" s="363">
        <f t="shared" si="21"/>
        <v>2.1999999999999999E-2</v>
      </c>
      <c r="U43" s="363">
        <f t="shared" si="21"/>
        <v>2.1999999999999999E-2</v>
      </c>
      <c r="V43" s="359">
        <f t="shared" si="21"/>
        <v>2.1999999999999999E-2</v>
      </c>
      <c r="W43" s="359">
        <f t="shared" si="21"/>
        <v>2.1999999999999999E-2</v>
      </c>
      <c r="X43" s="359">
        <f t="shared" si="21"/>
        <v>2.1999999999999999E-2</v>
      </c>
      <c r="Y43" s="363">
        <f t="shared" si="21"/>
        <v>2.1999999999999999E-2</v>
      </c>
      <c r="Z43" s="363">
        <f t="shared" si="21"/>
        <v>2.1999999999999999E-2</v>
      </c>
      <c r="AA43" s="363">
        <f t="shared" si="21"/>
        <v>2.1999999999999999E-2</v>
      </c>
      <c r="AB43" s="359">
        <f t="shared" si="21"/>
        <v>2.1999999999999999E-2</v>
      </c>
      <c r="AC43" s="359">
        <f t="shared" si="21"/>
        <v>2.1999999999999999E-2</v>
      </c>
      <c r="AD43" s="359">
        <f t="shared" si="21"/>
        <v>2.1999999999999999E-2</v>
      </c>
    </row>
    <row r="44" spans="1:30" x14ac:dyDescent="0.35">
      <c r="A44" s="1517"/>
      <c r="B44" s="153" t="s">
        <v>152</v>
      </c>
      <c r="C44" s="143">
        <f>+C20</f>
        <v>62748</v>
      </c>
      <c r="D44" s="143">
        <f>+D20</f>
        <v>31375</v>
      </c>
      <c r="E44" s="143">
        <f>+E20</f>
        <v>70066</v>
      </c>
      <c r="I44" s="143">
        <f t="shared" ref="I44:N44" si="22">+I20</f>
        <v>72075</v>
      </c>
      <c r="J44" s="143">
        <f t="shared" si="22"/>
        <v>11581.833333333334</v>
      </c>
      <c r="K44" s="143">
        <f t="shared" si="22"/>
        <v>71644</v>
      </c>
      <c r="L44" s="935">
        <f t="shared" si="22"/>
        <v>69491</v>
      </c>
      <c r="M44" s="112">
        <f t="shared" si="22"/>
        <v>73672</v>
      </c>
      <c r="N44" s="507">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518"/>
      <c r="B45" s="129" t="s">
        <v>155</v>
      </c>
      <c r="C45" s="172">
        <f>ROUND(+C44*C43,0)</f>
        <v>1820</v>
      </c>
      <c r="D45" s="172">
        <f>ROUND(+D44*D43,0)</f>
        <v>910</v>
      </c>
      <c r="E45" s="490">
        <f>ROUND(+E44*E43,0)</f>
        <v>1541</v>
      </c>
      <c r="I45" s="172">
        <f t="shared" ref="I45:N45" si="24">ROUND(+I44*I43,0)</f>
        <v>1586</v>
      </c>
      <c r="J45" s="172">
        <f t="shared" si="24"/>
        <v>255</v>
      </c>
      <c r="K45" s="172">
        <f t="shared" si="24"/>
        <v>1576</v>
      </c>
      <c r="L45" s="923">
        <f t="shared" si="24"/>
        <v>1529</v>
      </c>
      <c r="M45" s="119">
        <f t="shared" si="24"/>
        <v>1621</v>
      </c>
      <c r="N45" s="518">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516" t="s">
        <v>99</v>
      </c>
      <c r="B47" s="121" t="s">
        <v>160</v>
      </c>
      <c r="C47" s="494">
        <v>1200</v>
      </c>
      <c r="D47" s="701">
        <f>ROUND(C47*D$9,0)</f>
        <v>600</v>
      </c>
      <c r="E47" s="494">
        <v>1200</v>
      </c>
      <c r="I47" s="494">
        <v>1200</v>
      </c>
      <c r="J47" s="701">
        <f>+I47/12*2</f>
        <v>200</v>
      </c>
      <c r="K47" s="701">
        <f>ROUND((I47/12*10)+J47,0)</f>
        <v>1200</v>
      </c>
      <c r="L47" s="936">
        <v>1200</v>
      </c>
      <c r="M47" s="703">
        <v>1200</v>
      </c>
      <c r="N47" s="753">
        <v>1200</v>
      </c>
      <c r="S47" s="703">
        <v>1200</v>
      </c>
      <c r="T47" s="703">
        <v>1200</v>
      </c>
      <c r="U47" s="703">
        <v>600</v>
      </c>
      <c r="V47" s="494">
        <v>1200</v>
      </c>
      <c r="W47" s="494">
        <v>1200</v>
      </c>
      <c r="X47" s="494">
        <v>600</v>
      </c>
      <c r="Y47" s="703">
        <v>1200</v>
      </c>
      <c r="Z47" s="703">
        <v>1200</v>
      </c>
      <c r="AA47" s="703">
        <v>600</v>
      </c>
      <c r="AB47" s="494">
        <v>1200</v>
      </c>
      <c r="AC47" s="494">
        <v>1200</v>
      </c>
      <c r="AD47" s="494">
        <v>600</v>
      </c>
    </row>
    <row r="48" spans="1:30" x14ac:dyDescent="0.35">
      <c r="A48" s="1517"/>
      <c r="B48" s="123" t="s">
        <v>376</v>
      </c>
      <c r="C48" s="352">
        <v>750</v>
      </c>
      <c r="D48" s="376">
        <f>ROUND(C48*D$9,0)</f>
        <v>375</v>
      </c>
      <c r="E48" s="352">
        <v>1300</v>
      </c>
      <c r="I48" s="352">
        <v>1300</v>
      </c>
      <c r="J48" s="376">
        <f>+I48/12*2</f>
        <v>216.66666666666666</v>
      </c>
      <c r="K48" s="376">
        <f>ROUND((I48/12*10)+J48,0)</f>
        <v>1300</v>
      </c>
      <c r="L48" s="937">
        <v>1300</v>
      </c>
      <c r="M48" s="192">
        <v>1300</v>
      </c>
      <c r="N48" s="542">
        <v>1300</v>
      </c>
      <c r="S48" s="192">
        <v>1300</v>
      </c>
      <c r="T48" s="192">
        <v>1300</v>
      </c>
      <c r="U48" s="192">
        <f>+S48/2</f>
        <v>650</v>
      </c>
      <c r="V48" s="352">
        <v>1300</v>
      </c>
      <c r="W48" s="352">
        <v>1300</v>
      </c>
      <c r="X48" s="352">
        <f>+V48/2</f>
        <v>650</v>
      </c>
      <c r="Y48" s="192">
        <v>1300</v>
      </c>
      <c r="Z48" s="192">
        <v>1300</v>
      </c>
      <c r="AA48" s="192">
        <f>+Y48/2</f>
        <v>650</v>
      </c>
      <c r="AB48" s="352">
        <v>1300</v>
      </c>
      <c r="AC48" s="352">
        <v>1300</v>
      </c>
      <c r="AD48" s="352">
        <f>+AB48/2</f>
        <v>650</v>
      </c>
    </row>
    <row r="49" spans="1:30" x14ac:dyDescent="0.35">
      <c r="A49" s="1517"/>
      <c r="B49" s="123" t="s">
        <v>380</v>
      </c>
      <c r="C49" s="352"/>
      <c r="D49" s="376"/>
      <c r="E49" s="352"/>
      <c r="I49" s="352"/>
      <c r="J49" s="376"/>
      <c r="K49" s="352"/>
      <c r="L49" s="937"/>
      <c r="M49" s="192"/>
      <c r="N49" s="542"/>
      <c r="S49" s="192"/>
      <c r="T49" s="192"/>
      <c r="U49" s="192"/>
      <c r="V49" s="352"/>
      <c r="W49" s="352"/>
      <c r="X49" s="352"/>
      <c r="Y49" s="192"/>
      <c r="Z49" s="192"/>
      <c r="AA49" s="192"/>
      <c r="AB49" s="352"/>
      <c r="AC49" s="352"/>
      <c r="AD49" s="352"/>
    </row>
    <row r="50" spans="1:30" x14ac:dyDescent="0.35">
      <c r="A50" s="1517"/>
      <c r="B50" s="123" t="s">
        <v>423</v>
      </c>
      <c r="C50" s="352"/>
      <c r="D50" s="376"/>
      <c r="E50" s="352"/>
      <c r="I50" s="352"/>
      <c r="J50" s="376"/>
      <c r="K50" s="352"/>
      <c r="L50" s="937"/>
      <c r="M50" s="192"/>
      <c r="N50" s="542"/>
      <c r="S50" s="192"/>
      <c r="T50" s="192"/>
      <c r="U50" s="192"/>
      <c r="V50" s="352"/>
      <c r="W50" s="352"/>
      <c r="X50" s="352"/>
      <c r="Y50" s="192"/>
      <c r="Z50" s="192"/>
      <c r="AA50" s="192"/>
      <c r="AB50" s="352"/>
      <c r="AC50" s="352"/>
      <c r="AD50" s="352"/>
    </row>
    <row r="51" spans="1:30" x14ac:dyDescent="0.35">
      <c r="A51" s="1517"/>
      <c r="B51" s="123" t="s">
        <v>99</v>
      </c>
      <c r="C51" s="352">
        <v>600</v>
      </c>
      <c r="D51" s="376">
        <f>ROUND(C51*D$9,0)</f>
        <v>300</v>
      </c>
      <c r="E51" s="352">
        <v>600</v>
      </c>
      <c r="I51" s="352">
        <v>600</v>
      </c>
      <c r="J51" s="376">
        <f>+I51/12*2</f>
        <v>100</v>
      </c>
      <c r="K51" s="376">
        <f>ROUND((I51/12*10)+J51,0)</f>
        <v>600</v>
      </c>
      <c r="L51" s="937">
        <v>600</v>
      </c>
      <c r="M51" s="192">
        <v>600</v>
      </c>
      <c r="N51" s="542">
        <v>600</v>
      </c>
      <c r="S51" s="192">
        <v>600</v>
      </c>
      <c r="T51" s="192">
        <v>600</v>
      </c>
      <c r="U51" s="192">
        <v>300</v>
      </c>
      <c r="V51" s="352">
        <v>600</v>
      </c>
      <c r="W51" s="352">
        <v>600</v>
      </c>
      <c r="X51" s="352">
        <v>300</v>
      </c>
      <c r="Y51" s="192">
        <v>600</v>
      </c>
      <c r="Z51" s="192">
        <v>600</v>
      </c>
      <c r="AA51" s="192">
        <v>300</v>
      </c>
      <c r="AB51" s="352">
        <v>600</v>
      </c>
      <c r="AC51" s="352">
        <v>600</v>
      </c>
      <c r="AD51" s="352">
        <v>300</v>
      </c>
    </row>
    <row r="52" spans="1:30" x14ac:dyDescent="0.35">
      <c r="A52" s="1517"/>
      <c r="B52" s="153" t="s">
        <v>170</v>
      </c>
      <c r="C52" s="352">
        <v>480</v>
      </c>
      <c r="D52" s="376">
        <f>ROUND(C52*D$9,0)</f>
        <v>240</v>
      </c>
      <c r="E52" s="352">
        <v>480</v>
      </c>
      <c r="F52" s="257"/>
      <c r="G52" s="257"/>
      <c r="H52" s="257"/>
      <c r="I52" s="352">
        <v>480</v>
      </c>
      <c r="J52" s="376">
        <f>+I52/12*2</f>
        <v>80</v>
      </c>
      <c r="K52" s="376">
        <f>ROUND((I52/12*10)+J52,0)</f>
        <v>480</v>
      </c>
      <c r="L52" s="937">
        <v>480</v>
      </c>
      <c r="M52" s="192">
        <v>480</v>
      </c>
      <c r="N52" s="542">
        <v>480</v>
      </c>
      <c r="S52" s="192">
        <v>480</v>
      </c>
      <c r="T52" s="192">
        <v>480</v>
      </c>
      <c r="U52" s="192">
        <f>+S52/2</f>
        <v>240</v>
      </c>
      <c r="V52" s="352">
        <v>480</v>
      </c>
      <c r="W52" s="352">
        <v>480</v>
      </c>
      <c r="X52" s="352">
        <f>+V52/2</f>
        <v>240</v>
      </c>
      <c r="Y52" s="192">
        <v>480</v>
      </c>
      <c r="Z52" s="192">
        <v>480</v>
      </c>
      <c r="AA52" s="192">
        <f>+Y52/2</f>
        <v>240</v>
      </c>
      <c r="AB52" s="352">
        <v>480</v>
      </c>
      <c r="AC52" s="352">
        <v>480</v>
      </c>
      <c r="AD52" s="352">
        <f>+AB52/2</f>
        <v>240</v>
      </c>
    </row>
    <row r="53" spans="1:30" hidden="1" x14ac:dyDescent="0.35">
      <c r="A53" s="1517"/>
      <c r="B53" s="153" t="s">
        <v>230</v>
      </c>
      <c r="C53" s="352">
        <v>300</v>
      </c>
      <c r="D53" s="352">
        <v>300</v>
      </c>
      <c r="E53" s="352"/>
      <c r="F53" s="257"/>
      <c r="G53" s="257"/>
      <c r="H53" s="257"/>
      <c r="I53" s="352"/>
      <c r="J53" s="352"/>
      <c r="K53" s="352"/>
      <c r="L53" s="937"/>
      <c r="M53" s="192"/>
      <c r="N53" s="542"/>
      <c r="S53" s="192"/>
      <c r="T53" s="192"/>
      <c r="U53" s="192"/>
      <c r="V53" s="352"/>
      <c r="W53" s="352"/>
      <c r="X53" s="352"/>
      <c r="Y53" s="192"/>
      <c r="Z53" s="192"/>
      <c r="AA53" s="192"/>
      <c r="AB53" s="352"/>
      <c r="AC53" s="352"/>
      <c r="AD53" s="352"/>
    </row>
    <row r="54" spans="1:30" x14ac:dyDescent="0.35">
      <c r="A54" s="1518"/>
      <c r="B54" s="134" t="s">
        <v>162</v>
      </c>
      <c r="C54" s="353">
        <f>+SUM(C47:C53)</f>
        <v>3330</v>
      </c>
      <c r="D54" s="353">
        <f>+SUM(D47:D53)</f>
        <v>1815</v>
      </c>
      <c r="E54" s="491">
        <f>+SUM(E47:E52)</f>
        <v>3580</v>
      </c>
      <c r="H54" s="116"/>
      <c r="I54" s="353">
        <f t="shared" ref="I54:N54" si="26">+SUM(I47:I52)</f>
        <v>3580</v>
      </c>
      <c r="J54" s="353">
        <f t="shared" si="26"/>
        <v>596.66666666666663</v>
      </c>
      <c r="K54" s="353">
        <f t="shared" si="26"/>
        <v>3580</v>
      </c>
      <c r="L54" s="932">
        <f t="shared" si="26"/>
        <v>3580</v>
      </c>
      <c r="M54" s="193">
        <f t="shared" si="26"/>
        <v>3580</v>
      </c>
      <c r="N54" s="544">
        <f t="shared" si="26"/>
        <v>3580</v>
      </c>
      <c r="S54" s="193">
        <f t="shared" ref="S54:AD54" si="27">+SUM(S47:S52)</f>
        <v>3580</v>
      </c>
      <c r="T54" s="193">
        <f t="shared" si="27"/>
        <v>3580</v>
      </c>
      <c r="U54" s="193">
        <f t="shared" si="27"/>
        <v>1790</v>
      </c>
      <c r="V54" s="353">
        <f t="shared" si="27"/>
        <v>3580</v>
      </c>
      <c r="W54" s="353">
        <f t="shared" si="27"/>
        <v>3580</v>
      </c>
      <c r="X54" s="353">
        <f t="shared" si="27"/>
        <v>1790</v>
      </c>
      <c r="Y54" s="193">
        <f t="shared" si="27"/>
        <v>3580</v>
      </c>
      <c r="Z54" s="193">
        <f t="shared" si="27"/>
        <v>3580</v>
      </c>
      <c r="AA54" s="193">
        <f t="shared" si="27"/>
        <v>1790</v>
      </c>
      <c r="AB54" s="353">
        <f t="shared" si="27"/>
        <v>3580</v>
      </c>
      <c r="AC54" s="353">
        <f t="shared" si="27"/>
        <v>3580</v>
      </c>
      <c r="AD54" s="353">
        <f t="shared" si="27"/>
        <v>1790</v>
      </c>
    </row>
    <row r="55" spans="1:30" ht="8" customHeight="1" x14ac:dyDescent="0.35">
      <c r="D55" s="173"/>
      <c r="L55" s="173"/>
      <c r="V55" s="173"/>
      <c r="W55" s="173"/>
      <c r="X55" s="173"/>
      <c r="AB55" s="173"/>
      <c r="AC55" s="173"/>
      <c r="AD55" s="173"/>
    </row>
    <row r="56" spans="1:30" x14ac:dyDescent="0.35">
      <c r="B56" s="137" t="s">
        <v>236</v>
      </c>
      <c r="C56" s="354">
        <f>+C20+C22+C38+C45+C54</f>
        <v>96198</v>
      </c>
      <c r="D56" s="354">
        <f>+D20+D22+D38+D45+D54</f>
        <v>48251</v>
      </c>
      <c r="E56" s="138">
        <f>+E20+E38+E45+E54+E25</f>
        <v>86398</v>
      </c>
      <c r="F56" s="116"/>
      <c r="G56" s="559"/>
      <c r="H56" s="379"/>
      <c r="I56" s="138">
        <f t="shared" ref="I56:N56" si="28">+I20+I38+I45+I54+I25</f>
        <v>88773</v>
      </c>
      <c r="J56" s="138">
        <f t="shared" si="28"/>
        <v>16931.5</v>
      </c>
      <c r="K56" s="138">
        <f t="shared" si="28"/>
        <v>90805</v>
      </c>
      <c r="L56" s="938">
        <f t="shared" si="28"/>
        <v>101589</v>
      </c>
      <c r="M56" s="138">
        <f t="shared" si="28"/>
        <v>106280</v>
      </c>
      <c r="N56" s="545">
        <f t="shared" si="28"/>
        <v>109588</v>
      </c>
      <c r="S56" s="138">
        <f t="shared" ref="S56:AD56" si="29">+S20+S38+S45+S54</f>
        <v>103115</v>
      </c>
      <c r="T56" s="138">
        <f t="shared" si="29"/>
        <v>99404</v>
      </c>
      <c r="U56" s="138">
        <f t="shared" si="29"/>
        <v>49703</v>
      </c>
      <c r="V56" s="354">
        <f t="shared" si="29"/>
        <v>103590</v>
      </c>
      <c r="W56" s="354">
        <f t="shared" si="29"/>
        <v>100271</v>
      </c>
      <c r="X56" s="354">
        <f t="shared" si="29"/>
        <v>50136.5</v>
      </c>
      <c r="Y56" s="138">
        <f t="shared" si="29"/>
        <v>104489</v>
      </c>
      <c r="Z56" s="138">
        <f t="shared" si="29"/>
        <v>101138</v>
      </c>
      <c r="AA56" s="138">
        <f t="shared" si="29"/>
        <v>50569.5</v>
      </c>
      <c r="AB56" s="354">
        <f t="shared" si="29"/>
        <v>105387</v>
      </c>
      <c r="AC56" s="354">
        <f t="shared" si="29"/>
        <v>102007</v>
      </c>
      <c r="AD56" s="354">
        <f t="shared" si="29"/>
        <v>51003</v>
      </c>
    </row>
    <row r="57" spans="1:30" ht="14.5" customHeight="1" x14ac:dyDescent="0.35">
      <c r="B57" s="196" t="s">
        <v>225</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54">
        <f>(+I56-E56)/E56</f>
        <v>2.7489062246811267E-2</v>
      </c>
      <c r="J58" s="754"/>
      <c r="K58" s="754">
        <f>(+K56-I56)/I56</f>
        <v>2.2889842632331903E-2</v>
      </c>
      <c r="L58" s="911"/>
      <c r="M58" s="754">
        <f>(+M56-K56)/K56</f>
        <v>0.1704201310500523</v>
      </c>
      <c r="N58" s="754">
        <f>(+N56-E56)/E56</f>
        <v>0.26840899094886456</v>
      </c>
      <c r="S58" s="754">
        <f>(+S56-$I56)/$I56</f>
        <v>0.16155813141383077</v>
      </c>
      <c r="T58" s="754">
        <f>(+T56-$I56)/$I56</f>
        <v>0.11975488042535455</v>
      </c>
      <c r="U58" s="754"/>
      <c r="V58" s="754">
        <f>(+V56-$I56)/$I56</f>
        <v>0.16690885742286507</v>
      </c>
      <c r="W58" s="754">
        <f>(+W56-$I56)/$I56</f>
        <v>0.12952136347763396</v>
      </c>
      <c r="X58" s="754"/>
      <c r="Y58" s="754">
        <f>(+Y56-$I56)/$I56</f>
        <v>0.17703581043785835</v>
      </c>
      <c r="Z58" s="754">
        <f>(+Z56-$I56)/$I56</f>
        <v>0.13928784652991338</v>
      </c>
      <c r="AA58" s="754"/>
      <c r="AB58" s="754">
        <f>(+AB56-$I56)/$I56</f>
        <v>0.18715149876651685</v>
      </c>
      <c r="AC58" s="754">
        <f>(+AC56-$I56)/$I56</f>
        <v>0.14907685895486239</v>
      </c>
      <c r="AD58" s="754"/>
    </row>
    <row r="59" spans="1:30" ht="18.5" x14ac:dyDescent="0.35">
      <c r="A59" s="745" t="s">
        <v>424</v>
      </c>
      <c r="C59" s="109"/>
      <c r="L59" s="173"/>
    </row>
    <row r="60" spans="1:30" ht="32" customHeight="1" thickBot="1" x14ac:dyDescent="0.4">
      <c r="A60" s="746"/>
      <c r="B60" s="746"/>
      <c r="C60" s="109"/>
      <c r="I60" s="746"/>
      <c r="J60" s="257"/>
      <c r="K60" s="124"/>
      <c r="L60" s="154"/>
      <c r="M60" s="257"/>
      <c r="S60" s="257"/>
      <c r="T60" s="257"/>
      <c r="U60" s="257"/>
      <c r="V60" s="257"/>
      <c r="W60" s="257"/>
      <c r="X60" s="257"/>
      <c r="Y60" s="257"/>
      <c r="Z60" s="257"/>
      <c r="AA60" s="257"/>
      <c r="AB60" s="257"/>
      <c r="AC60" s="257"/>
      <c r="AD60" s="257"/>
    </row>
    <row r="61" spans="1:30" x14ac:dyDescent="0.35">
      <c r="A61" s="744" t="s">
        <v>429</v>
      </c>
      <c r="C61" s="109"/>
      <c r="I61" s="747" t="s">
        <v>425</v>
      </c>
      <c r="J61" s="747"/>
      <c r="K61" s="747"/>
      <c r="L61" s="912"/>
      <c r="M61" s="747"/>
      <c r="S61" s="793"/>
      <c r="T61" s="793"/>
      <c r="U61" s="793"/>
      <c r="V61" s="793"/>
      <c r="W61" s="793"/>
      <c r="X61" s="793"/>
      <c r="Y61" s="793"/>
      <c r="Z61" s="793"/>
      <c r="AA61" s="793"/>
      <c r="AB61" s="793"/>
      <c r="AC61" s="793"/>
      <c r="AD61" s="793"/>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6"/>
      <c r="B63" s="746"/>
      <c r="C63" s="109"/>
      <c r="I63" s="746"/>
      <c r="J63" s="257"/>
      <c r="K63" s="124"/>
      <c r="L63" s="154"/>
      <c r="M63" s="257"/>
      <c r="S63" s="257"/>
      <c r="T63" s="257"/>
      <c r="U63" s="257"/>
      <c r="V63" s="257"/>
      <c r="W63" s="257"/>
      <c r="X63" s="257"/>
      <c r="Y63" s="257"/>
      <c r="Z63" s="257"/>
      <c r="AA63" s="257"/>
      <c r="AB63" s="257"/>
      <c r="AC63" s="257"/>
      <c r="AD63" s="257"/>
    </row>
    <row r="64" spans="1:30" x14ac:dyDescent="0.35">
      <c r="A64" s="744" t="s">
        <v>427</v>
      </c>
      <c r="C64" s="109"/>
      <c r="I64" s="747" t="s">
        <v>425</v>
      </c>
      <c r="J64" s="747"/>
      <c r="K64" s="747"/>
      <c r="L64" s="912"/>
      <c r="M64" s="747"/>
      <c r="S64" s="793"/>
      <c r="T64" s="793"/>
      <c r="U64" s="793"/>
      <c r="V64" s="793"/>
      <c r="W64" s="793"/>
      <c r="X64" s="793"/>
      <c r="Y64" s="793"/>
      <c r="Z64" s="793"/>
      <c r="AA64" s="793"/>
      <c r="AB64" s="793"/>
      <c r="AC64" s="793"/>
      <c r="AD64" s="793"/>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6"/>
      <c r="B66" s="746"/>
      <c r="C66" s="109"/>
      <c r="I66" s="746"/>
      <c r="J66" s="257"/>
      <c r="K66" s="257"/>
      <c r="L66" s="154"/>
      <c r="M66" s="257"/>
      <c r="S66" s="257"/>
      <c r="T66" s="257"/>
      <c r="U66" s="257"/>
      <c r="V66" s="257"/>
      <c r="W66" s="257"/>
      <c r="X66" s="257"/>
      <c r="Y66" s="257"/>
      <c r="Z66" s="257"/>
      <c r="AA66" s="257"/>
      <c r="AB66" s="257"/>
      <c r="AC66" s="257"/>
      <c r="AD66" s="257"/>
    </row>
    <row r="67" spans="1:30" x14ac:dyDescent="0.35">
      <c r="A67" s="744" t="s">
        <v>428</v>
      </c>
      <c r="C67" s="109"/>
      <c r="I67" s="747" t="s">
        <v>425</v>
      </c>
      <c r="J67" s="747"/>
      <c r="K67" s="747"/>
      <c r="L67" s="912"/>
      <c r="M67" s="747"/>
      <c r="S67" s="793"/>
      <c r="T67" s="793"/>
      <c r="U67" s="793"/>
      <c r="V67" s="793"/>
      <c r="W67" s="793"/>
      <c r="X67" s="793"/>
      <c r="Y67" s="793"/>
      <c r="Z67" s="793"/>
      <c r="AA67" s="793"/>
      <c r="AB67" s="793"/>
      <c r="AC67" s="793"/>
      <c r="AD67" s="793"/>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436" t="s">
        <v>554</v>
      </c>
      <c r="B1" s="1436"/>
      <c r="C1" s="1436"/>
      <c r="D1" s="1436"/>
      <c r="E1" s="1436"/>
    </row>
    <row r="2" spans="1:5" s="718" customFormat="1" ht="10" customHeight="1" x14ac:dyDescent="0.35">
      <c r="C2" s="720"/>
      <c r="D2" s="991">
        <v>0.5</v>
      </c>
      <c r="E2" s="991">
        <v>0.75</v>
      </c>
    </row>
    <row r="3" spans="1:5" ht="37.5" customHeight="1" x14ac:dyDescent="0.35">
      <c r="C3" s="1541" t="s">
        <v>555</v>
      </c>
      <c r="D3" s="1539" t="s">
        <v>556</v>
      </c>
      <c r="E3" s="1541" t="s">
        <v>557</v>
      </c>
    </row>
    <row r="4" spans="1:5" ht="15" customHeight="1" x14ac:dyDescent="0.35">
      <c r="C4" s="1542"/>
      <c r="D4" s="1540"/>
      <c r="E4" s="1542"/>
    </row>
    <row r="5" spans="1:5" ht="14.5" customHeight="1" x14ac:dyDescent="0.35">
      <c r="A5" s="1516" t="s">
        <v>266</v>
      </c>
      <c r="B5" s="377" t="s">
        <v>36</v>
      </c>
      <c r="C5" s="494">
        <v>60000</v>
      </c>
      <c r="D5" s="371">
        <f>+ROUND($C5*D$2,0)</f>
        <v>30000</v>
      </c>
      <c r="E5" s="371">
        <f>+ROUND($C5*E$2,0)</f>
        <v>45000</v>
      </c>
    </row>
    <row r="6" spans="1:5" x14ac:dyDescent="0.35">
      <c r="A6" s="1517"/>
      <c r="B6" s="141" t="s">
        <v>125</v>
      </c>
      <c r="C6" s="374">
        <v>24000</v>
      </c>
      <c r="D6" s="791">
        <f>+ROUND($C6*D$2,0)</f>
        <v>12000</v>
      </c>
      <c r="E6" s="791">
        <f>+ROUND($C6*E$2,0)</f>
        <v>18000</v>
      </c>
    </row>
    <row r="7" spans="1:5" x14ac:dyDescent="0.35">
      <c r="A7" s="1517"/>
      <c r="B7" s="160" t="s">
        <v>142</v>
      </c>
      <c r="C7" s="350">
        <f>+C5+C6</f>
        <v>84000</v>
      </c>
      <c r="D7" s="350">
        <f>+D5+D6</f>
        <v>42000</v>
      </c>
      <c r="E7" s="350">
        <f>+E5+E6</f>
        <v>63000</v>
      </c>
    </row>
    <row r="8" spans="1:5" ht="6.5" customHeight="1" x14ac:dyDescent="0.35">
      <c r="A8" s="1517"/>
      <c r="B8" s="153"/>
      <c r="C8" s="146"/>
      <c r="D8" s="146"/>
      <c r="E8" s="146"/>
    </row>
    <row r="9" spans="1:5" x14ac:dyDescent="0.35">
      <c r="A9" s="1517"/>
      <c r="B9" s="153" t="s">
        <v>411</v>
      </c>
      <c r="C9" s="383">
        <v>7.6499999999999999E-2</v>
      </c>
      <c r="D9" s="383"/>
      <c r="E9" s="383">
        <v>7.6499999999999999E-2</v>
      </c>
    </row>
    <row r="10" spans="1:5" x14ac:dyDescent="0.35">
      <c r="A10" s="1517"/>
      <c r="B10" s="153" t="s">
        <v>232</v>
      </c>
      <c r="C10" s="165">
        <f>ROUND(+C7*C9,0)</f>
        <v>6426</v>
      </c>
      <c r="D10" s="355">
        <v>3000</v>
      </c>
      <c r="E10" s="165">
        <f>ROUND(+E7*E9,0)</f>
        <v>4820</v>
      </c>
    </row>
    <row r="11" spans="1:5" x14ac:dyDescent="0.35">
      <c r="A11" s="1518"/>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3">
        <v>0</v>
      </c>
      <c r="D13" s="493">
        <v>0</v>
      </c>
      <c r="E13" s="493">
        <v>0</v>
      </c>
    </row>
    <row r="14" spans="1:5" ht="14.5" hidden="1" customHeight="1" x14ac:dyDescent="0.35">
      <c r="A14" s="909"/>
      <c r="B14" s="153" t="s">
        <v>166</v>
      </c>
      <c r="C14" s="355">
        <v>0</v>
      </c>
      <c r="D14" s="355">
        <v>0</v>
      </c>
      <c r="E14" s="355">
        <v>0</v>
      </c>
    </row>
    <row r="15" spans="1:5" ht="14.5" customHeight="1" x14ac:dyDescent="0.35">
      <c r="A15" s="1516" t="s">
        <v>128</v>
      </c>
      <c r="B15" s="992" t="s">
        <v>562</v>
      </c>
      <c r="C15" s="493">
        <f>343*12</f>
        <v>4116</v>
      </c>
      <c r="D15" s="492">
        <f>+C15</f>
        <v>4116</v>
      </c>
      <c r="E15" s="492">
        <f>+C15</f>
        <v>4116</v>
      </c>
    </row>
    <row r="16" spans="1:5" x14ac:dyDescent="0.35">
      <c r="A16" s="1517"/>
      <c r="B16" s="392" t="s">
        <v>558</v>
      </c>
      <c r="C16" s="376">
        <f>+C$11*0.12</f>
        <v>10851.119999999999</v>
      </c>
      <c r="D16" s="376">
        <f t="shared" ref="D16:E16" si="0">+D$11*0.12</f>
        <v>5400</v>
      </c>
      <c r="E16" s="376">
        <f t="shared" si="0"/>
        <v>8138.4</v>
      </c>
    </row>
    <row r="17" spans="1:5" ht="14.5" customHeight="1" x14ac:dyDescent="0.35">
      <c r="A17" s="1517"/>
      <c r="B17" s="153" t="s">
        <v>564</v>
      </c>
      <c r="C17" s="376">
        <f>+C$11*0.009</f>
        <v>813.83399999999995</v>
      </c>
      <c r="D17" s="376">
        <f t="shared" ref="D17:E17" si="1">+D$11*0.009</f>
        <v>404.99999999999994</v>
      </c>
      <c r="E17" s="376">
        <f t="shared" si="1"/>
        <v>610.38</v>
      </c>
    </row>
    <row r="18" spans="1:5" x14ac:dyDescent="0.35">
      <c r="A18" s="1517"/>
      <c r="B18" s="153" t="s">
        <v>563</v>
      </c>
      <c r="C18" s="376">
        <f>+C$11*0.008</f>
        <v>723.40800000000002</v>
      </c>
      <c r="D18" s="376">
        <f t="shared" ref="D18:E18" si="2">+D$11*0.008</f>
        <v>360</v>
      </c>
      <c r="E18" s="376">
        <f t="shared" si="2"/>
        <v>542.56000000000006</v>
      </c>
    </row>
    <row r="19" spans="1:5" ht="14.5" customHeight="1" x14ac:dyDescent="0.35">
      <c r="A19" s="1517"/>
      <c r="B19" s="123" t="s">
        <v>560</v>
      </c>
      <c r="C19" s="352">
        <v>1200</v>
      </c>
      <c r="D19" s="376">
        <f>+$C19*D2</f>
        <v>600</v>
      </c>
      <c r="E19" s="376">
        <f>+$C19*E2</f>
        <v>900</v>
      </c>
    </row>
    <row r="20" spans="1:5" x14ac:dyDescent="0.35">
      <c r="A20" s="1518"/>
      <c r="B20" s="129" t="s">
        <v>559</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561</v>
      </c>
      <c r="C22" s="354">
        <f>+C11+C20</f>
        <v>108130.36199999999</v>
      </c>
      <c r="D22" s="354">
        <f t="shared" ref="D22:E22" si="4">+D11+D20</f>
        <v>55881</v>
      </c>
      <c r="E22" s="354">
        <f t="shared" si="4"/>
        <v>82127.34</v>
      </c>
    </row>
    <row r="23" spans="1:5" x14ac:dyDescent="0.35">
      <c r="C23" s="173"/>
      <c r="D23" s="173"/>
      <c r="E23" s="173"/>
    </row>
    <row r="24" spans="1:5" x14ac:dyDescent="0.35">
      <c r="B24" s="744" t="s">
        <v>565</v>
      </c>
      <c r="C24" s="744"/>
      <c r="D24" s="99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4" customWidth="1"/>
    <col min="2" max="2" width="12.6328125" style="794" customWidth="1"/>
    <col min="3" max="3" width="1" style="795" customWidth="1"/>
    <col min="4" max="7" width="12.6328125" style="794" customWidth="1"/>
    <col min="8" max="8" width="1.6328125" style="794" customWidth="1"/>
    <col min="9" max="9" width="8.7265625" style="794"/>
    <col min="10" max="10" width="8.7265625" style="794" customWidth="1"/>
    <col min="11" max="16384" width="8.7265625" style="794"/>
  </cols>
  <sheetData>
    <row r="1" spans="1:10" ht="23.5" x14ac:dyDescent="0.55000000000000004">
      <c r="A1" s="1435" t="s">
        <v>435</v>
      </c>
      <c r="B1" s="1435"/>
      <c r="C1" s="1435"/>
      <c r="D1" s="1435"/>
      <c r="E1" s="1435"/>
      <c r="F1" s="1435"/>
      <c r="G1" s="1435"/>
      <c r="H1" s="1435"/>
      <c r="I1" s="1435"/>
      <c r="J1" s="1435"/>
    </row>
    <row r="2" spans="1:10" ht="19" thickBot="1" x14ac:dyDescent="0.5"/>
    <row r="3" spans="1:10" ht="19" thickBot="1" x14ac:dyDescent="0.5">
      <c r="B3" s="1552" t="s">
        <v>440</v>
      </c>
      <c r="C3" s="1553"/>
      <c r="D3" s="1553"/>
      <c r="E3" s="1553"/>
      <c r="F3" s="1553"/>
      <c r="G3" s="1554"/>
    </row>
    <row r="4" spans="1:10" ht="21" x14ac:dyDescent="0.45">
      <c r="B4" s="1550" t="s">
        <v>442</v>
      </c>
      <c r="C4" s="810"/>
      <c r="D4" s="1555" t="s">
        <v>441</v>
      </c>
      <c r="E4" s="1556"/>
      <c r="F4" s="1556"/>
      <c r="G4" s="1557"/>
      <c r="I4" s="1549" t="s">
        <v>444</v>
      </c>
      <c r="J4" s="1549"/>
    </row>
    <row r="5" spans="1:10" ht="19" customHeight="1" thickBot="1" x14ac:dyDescent="0.5">
      <c r="A5" s="817"/>
      <c r="B5" s="1551"/>
      <c r="C5" s="810"/>
      <c r="D5" s="803">
        <v>7.0000000000000007E-2</v>
      </c>
      <c r="E5" s="799">
        <v>0.08</v>
      </c>
      <c r="F5" s="799">
        <v>0.09</v>
      </c>
      <c r="G5" s="804">
        <v>0.1</v>
      </c>
      <c r="I5" s="1549"/>
      <c r="J5" s="1549"/>
    </row>
    <row r="6" spans="1:10" x14ac:dyDescent="0.45">
      <c r="A6" s="796" t="s">
        <v>436</v>
      </c>
      <c r="B6" s="801">
        <f>+ROUND('Pastor Kelly'!I56/2,0)</f>
        <v>44387</v>
      </c>
      <c r="C6" s="811"/>
      <c r="D6" s="805">
        <f>+'Pastor Kelly'!U56</f>
        <v>49703</v>
      </c>
      <c r="E6" s="798">
        <f>+'Pastor Kelly'!X56</f>
        <v>50136.5</v>
      </c>
      <c r="F6" s="798">
        <f>+'Pastor Kelly'!AA56</f>
        <v>50569.5</v>
      </c>
      <c r="G6" s="806">
        <f>+'Pastor Kelly'!AD56</f>
        <v>51003</v>
      </c>
      <c r="I6" s="1549"/>
      <c r="J6" s="1549"/>
    </row>
    <row r="7" spans="1:10" ht="19" thickBot="1" x14ac:dyDescent="0.5">
      <c r="A7" s="816" t="s">
        <v>437</v>
      </c>
      <c r="B7" s="802"/>
      <c r="C7" s="812"/>
      <c r="D7" s="807">
        <f>+D6-$B6</f>
        <v>5316</v>
      </c>
      <c r="E7" s="808">
        <f>+E6-$B6</f>
        <v>5749.5</v>
      </c>
      <c r="F7" s="808">
        <f>+F6-$B6</f>
        <v>6182.5</v>
      </c>
      <c r="G7" s="809">
        <f>+G6-$B6</f>
        <v>6616</v>
      </c>
      <c r="I7" s="1549"/>
      <c r="J7" s="1549"/>
    </row>
    <row r="8" spans="1:10" ht="19" thickBot="1" x14ac:dyDescent="0.5">
      <c r="I8" s="813"/>
      <c r="J8" s="813"/>
    </row>
    <row r="9" spans="1:10" ht="19" thickBot="1" x14ac:dyDescent="0.5">
      <c r="B9" s="1552" t="s">
        <v>79</v>
      </c>
      <c r="C9" s="1553"/>
      <c r="D9" s="1553"/>
      <c r="E9" s="1553"/>
      <c r="F9" s="1553"/>
      <c r="G9" s="1554"/>
    </row>
    <row r="10" spans="1:10" ht="21" x14ac:dyDescent="0.45">
      <c r="B10" s="1550" t="s">
        <v>442</v>
      </c>
      <c r="C10" s="810"/>
      <c r="D10" s="1555" t="s">
        <v>441</v>
      </c>
      <c r="E10" s="1556"/>
      <c r="F10" s="1556"/>
      <c r="G10" s="1557"/>
      <c r="I10" s="1549" t="s">
        <v>443</v>
      </c>
      <c r="J10" s="1549"/>
    </row>
    <row r="11" spans="1:10" ht="19" customHeight="1" thickBot="1" x14ac:dyDescent="0.5">
      <c r="A11" s="817"/>
      <c r="B11" s="1551"/>
      <c r="C11" s="810"/>
      <c r="D11" s="803">
        <v>7.0000000000000007E-2</v>
      </c>
      <c r="E11" s="799">
        <v>0.08</v>
      </c>
      <c r="F11" s="799">
        <v>0.09</v>
      </c>
      <c r="G11" s="804">
        <v>0.1</v>
      </c>
      <c r="I11" s="1549"/>
      <c r="J11" s="1549"/>
    </row>
    <row r="12" spans="1:10" x14ac:dyDescent="0.45">
      <c r="A12" s="796" t="s">
        <v>436</v>
      </c>
      <c r="B12" s="801">
        <f>+'Pastor Kelly'!I56</f>
        <v>88773</v>
      </c>
      <c r="C12" s="811"/>
      <c r="D12" s="805">
        <f>+'Pastor Kelly'!T56</f>
        <v>99404</v>
      </c>
      <c r="E12" s="798">
        <f>+'Pastor Kelly'!W56</f>
        <v>100271</v>
      </c>
      <c r="F12" s="798">
        <f>+'Pastor Kelly'!Z56</f>
        <v>101138</v>
      </c>
      <c r="G12" s="806">
        <f>+'Pastor Kelly'!AC56</f>
        <v>102007</v>
      </c>
      <c r="I12" s="1549"/>
      <c r="J12" s="1549"/>
    </row>
    <row r="13" spans="1:10" ht="19" thickBot="1" x14ac:dyDescent="0.5">
      <c r="A13" s="816" t="s">
        <v>437</v>
      </c>
      <c r="B13" s="802"/>
      <c r="C13" s="812"/>
      <c r="D13" s="807">
        <f>+D12-$B12</f>
        <v>10631</v>
      </c>
      <c r="E13" s="808">
        <f>+E12-$B12</f>
        <v>11498</v>
      </c>
      <c r="F13" s="808">
        <f>+F12-$B12</f>
        <v>12365</v>
      </c>
      <c r="G13" s="809">
        <f>+G12-$B12</f>
        <v>13234</v>
      </c>
      <c r="I13" s="1549"/>
      <c r="J13" s="1549"/>
    </row>
    <row r="14" spans="1:10" x14ac:dyDescent="0.45">
      <c r="I14" s="813"/>
      <c r="J14" s="813"/>
    </row>
    <row r="15" spans="1:10" ht="39.5" customHeight="1" x14ac:dyDescent="0.45">
      <c r="A15" s="1547" t="s">
        <v>438</v>
      </c>
      <c r="B15" s="1547"/>
      <c r="C15" s="1547"/>
      <c r="D15" s="1547"/>
      <c r="E15" s="1547"/>
      <c r="F15" s="1547"/>
      <c r="G15" s="1547"/>
      <c r="H15" s="1547"/>
      <c r="I15" s="1547"/>
      <c r="J15" s="1547"/>
    </row>
    <row r="16" spans="1:10" ht="10.5" customHeight="1" x14ac:dyDescent="0.45">
      <c r="A16" s="797"/>
      <c r="B16" s="797"/>
      <c r="C16" s="800"/>
      <c r="D16" s="797"/>
      <c r="E16" s="797"/>
      <c r="F16" s="797"/>
      <c r="G16" s="797"/>
    </row>
    <row r="17" spans="1:10" ht="39" customHeight="1" x14ac:dyDescent="0.45">
      <c r="A17" s="1548" t="s">
        <v>439</v>
      </c>
      <c r="B17" s="1548"/>
      <c r="C17" s="1548"/>
      <c r="D17" s="1548"/>
      <c r="E17" s="1548"/>
      <c r="F17" s="1548"/>
      <c r="G17" s="1548"/>
      <c r="H17" s="1548"/>
      <c r="I17" s="1548"/>
      <c r="J17" s="1548"/>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563" t="s">
        <v>476</v>
      </c>
      <c r="I2" s="1564"/>
      <c r="J2" s="1565"/>
    </row>
    <row r="3" spans="1:13" ht="30" x14ac:dyDescent="0.45">
      <c r="A3" s="833" t="s">
        <v>468</v>
      </c>
      <c r="B3" s="850" t="s">
        <v>373</v>
      </c>
      <c r="C3" s="851" t="s">
        <v>289</v>
      </c>
      <c r="D3" s="852"/>
      <c r="E3" s="1561" t="s">
        <v>474</v>
      </c>
      <c r="F3" s="1562"/>
      <c r="H3" s="836" t="s">
        <v>478</v>
      </c>
      <c r="I3" s="835" t="s">
        <v>479</v>
      </c>
      <c r="J3" s="834" t="s">
        <v>480</v>
      </c>
    </row>
    <row r="4" spans="1:13" x14ac:dyDescent="0.35">
      <c r="A4" s="853" t="s">
        <v>469</v>
      </c>
      <c r="B4" s="838">
        <v>13.33</v>
      </c>
      <c r="C4" s="838">
        <v>11.22</v>
      </c>
      <c r="D4" s="830"/>
      <c r="E4" s="838">
        <v>15</v>
      </c>
      <c r="F4" s="854">
        <v>16</v>
      </c>
      <c r="H4" s="837">
        <v>11.86</v>
      </c>
      <c r="I4" s="838">
        <v>11</v>
      </c>
      <c r="J4" s="831"/>
    </row>
    <row r="5" spans="1:13" x14ac:dyDescent="0.35">
      <c r="A5" s="855" t="s">
        <v>470</v>
      </c>
      <c r="B5" s="840">
        <v>20</v>
      </c>
      <c r="C5" s="840">
        <v>7.5</v>
      </c>
      <c r="D5" s="619"/>
      <c r="E5" s="840">
        <v>20</v>
      </c>
      <c r="F5" s="856">
        <v>20</v>
      </c>
      <c r="H5" s="839">
        <v>20</v>
      </c>
      <c r="I5" s="840">
        <v>15</v>
      </c>
      <c r="J5" s="841"/>
    </row>
    <row r="6" spans="1:13" x14ac:dyDescent="0.35">
      <c r="A6" s="857" t="s">
        <v>126</v>
      </c>
      <c r="B6" s="843">
        <f>+B4*B5*52</f>
        <v>13863.2</v>
      </c>
      <c r="C6" s="843">
        <f>+C4*C5*52</f>
        <v>4375.8</v>
      </c>
      <c r="D6" s="619"/>
      <c r="E6" s="843">
        <f>+E4*E5*52</f>
        <v>15600</v>
      </c>
      <c r="F6" s="858">
        <f>+F4*F5*52</f>
        <v>16640</v>
      </c>
      <c r="H6" s="842">
        <f>+H4*H5*52</f>
        <v>12334.4</v>
      </c>
      <c r="I6" s="843">
        <f>+I4*I5*52</f>
        <v>8580</v>
      </c>
      <c r="J6" s="841"/>
      <c r="K6" s="832"/>
    </row>
    <row r="7" spans="1:13" x14ac:dyDescent="0.35">
      <c r="A7" s="844"/>
      <c r="B7" s="619"/>
      <c r="C7" s="619"/>
      <c r="D7" s="619"/>
      <c r="E7" s="619"/>
      <c r="F7" s="841"/>
      <c r="H7" s="844"/>
      <c r="I7" s="619"/>
      <c r="J7" s="841"/>
    </row>
    <row r="8" spans="1:13" x14ac:dyDescent="0.35">
      <c r="A8" s="844" t="s">
        <v>471</v>
      </c>
      <c r="B8" s="619"/>
      <c r="C8" s="619"/>
      <c r="D8" s="859"/>
      <c r="E8" s="846"/>
      <c r="F8" s="860"/>
      <c r="H8" s="844"/>
      <c r="I8" s="619"/>
      <c r="J8" s="841"/>
      <c r="L8" s="1566" t="s">
        <v>485</v>
      </c>
      <c r="M8" s="1562"/>
    </row>
    <row r="9" spans="1:13" x14ac:dyDescent="0.35">
      <c r="A9" s="844" t="s">
        <v>472</v>
      </c>
      <c r="B9" s="846">
        <f>+B6*0.0765</f>
        <v>1060.5348000000001</v>
      </c>
      <c r="C9" s="846">
        <f>+C6*0.0765</f>
        <v>334.74869999999999</v>
      </c>
      <c r="D9" s="859"/>
      <c r="E9" s="846">
        <f>+E6*0.0765</f>
        <v>1193.4000000000001</v>
      </c>
      <c r="F9" s="860">
        <f>+F6*0.0765</f>
        <v>1272.96</v>
      </c>
      <c r="H9" s="845">
        <f>+H6*0.0765</f>
        <v>943.58159999999998</v>
      </c>
      <c r="I9" s="846">
        <f>+I6*0.0765</f>
        <v>656.37</v>
      </c>
      <c r="J9" s="841"/>
      <c r="L9" s="1558" t="s">
        <v>481</v>
      </c>
      <c r="M9" s="1559"/>
    </row>
    <row r="10" spans="1:13" x14ac:dyDescent="0.35">
      <c r="A10" s="844" t="s">
        <v>473</v>
      </c>
      <c r="B10" s="619"/>
      <c r="C10" s="619"/>
      <c r="D10" s="619"/>
      <c r="E10" s="619"/>
      <c r="F10" s="841"/>
      <c r="H10" s="844"/>
      <c r="I10" s="619"/>
      <c r="J10" s="841"/>
      <c r="L10" s="869" t="s">
        <v>482</v>
      </c>
      <c r="M10" s="870" t="s">
        <v>483</v>
      </c>
    </row>
    <row r="11" spans="1:13" x14ac:dyDescent="0.35">
      <c r="A11" s="861" t="s">
        <v>475</v>
      </c>
      <c r="B11" s="848">
        <f>+B6+B9</f>
        <v>14923.7348</v>
      </c>
      <c r="C11" s="848">
        <f>+C6+C9</f>
        <v>4710.5487000000003</v>
      </c>
      <c r="D11" s="862"/>
      <c r="E11" s="848">
        <f>+E6+E9</f>
        <v>16793.400000000001</v>
      </c>
      <c r="F11" s="849">
        <f>+F6+F9</f>
        <v>17912.96</v>
      </c>
      <c r="H11" s="847">
        <f>+H6+H9</f>
        <v>13277.981599999999</v>
      </c>
      <c r="I11" s="848">
        <f>+I6+I9</f>
        <v>9236.3700000000008</v>
      </c>
      <c r="J11" s="867">
        <f>+H11+I11</f>
        <v>22514.351600000002</v>
      </c>
      <c r="K11" s="832"/>
      <c r="L11" s="871">
        <v>8555.2900000000009</v>
      </c>
      <c r="M11" s="872">
        <v>14490.85</v>
      </c>
    </row>
    <row r="12" spans="1:13" x14ac:dyDescent="0.35">
      <c r="C12" s="863"/>
      <c r="D12" s="864" t="s">
        <v>477</v>
      </c>
      <c r="E12" s="865">
        <f>+E11-B11</f>
        <v>1869.6652000000013</v>
      </c>
      <c r="F12" s="866">
        <f>+F11-B11</f>
        <v>2989.2251999999989</v>
      </c>
      <c r="L12" s="873">
        <f>+M11-L11</f>
        <v>5935.5599999999995</v>
      </c>
      <c r="M12" s="478" t="s">
        <v>484</v>
      </c>
    </row>
    <row r="15" spans="1:13" ht="30" x14ac:dyDescent="0.45">
      <c r="A15" s="833" t="s">
        <v>171</v>
      </c>
      <c r="B15" s="850" t="s">
        <v>373</v>
      </c>
      <c r="C15" s="851" t="s">
        <v>289</v>
      </c>
      <c r="D15" s="852"/>
      <c r="E15" s="1561" t="s">
        <v>474</v>
      </c>
      <c r="F15" s="1562"/>
    </row>
    <row r="16" spans="1:13" x14ac:dyDescent="0.35">
      <c r="A16" s="853" t="s">
        <v>469</v>
      </c>
      <c r="B16" s="838">
        <v>19.93</v>
      </c>
      <c r="C16" s="838">
        <v>17.690000000000001</v>
      </c>
      <c r="D16" s="830"/>
      <c r="E16" s="838">
        <v>20.5</v>
      </c>
      <c r="F16" s="854">
        <v>21</v>
      </c>
    </row>
    <row r="17" spans="1:13" x14ac:dyDescent="0.35">
      <c r="A17" s="855" t="s">
        <v>470</v>
      </c>
      <c r="B17" s="840">
        <v>40</v>
      </c>
      <c r="C17" s="840">
        <v>40</v>
      </c>
      <c r="D17" s="619"/>
      <c r="E17" s="840">
        <v>40</v>
      </c>
      <c r="F17" s="856">
        <v>40</v>
      </c>
    </row>
    <row r="18" spans="1:13" x14ac:dyDescent="0.35">
      <c r="A18" s="857" t="s">
        <v>126</v>
      </c>
      <c r="B18" s="843">
        <f>+B16*B17*52</f>
        <v>41454.400000000001</v>
      </c>
      <c r="C18" s="843">
        <f>+C16*C17*52</f>
        <v>36795.200000000004</v>
      </c>
      <c r="D18" s="619"/>
      <c r="E18" s="843">
        <f>+E16*E17*52</f>
        <v>42640</v>
      </c>
      <c r="F18" s="858">
        <f>+F16*F17*52</f>
        <v>43680</v>
      </c>
    </row>
    <row r="19" spans="1:13" x14ac:dyDescent="0.35">
      <c r="A19" s="844"/>
      <c r="B19" s="619"/>
      <c r="C19" s="619"/>
      <c r="D19" s="619"/>
      <c r="E19" s="619"/>
      <c r="F19" s="841"/>
    </row>
    <row r="20" spans="1:13" ht="14.5" customHeight="1" x14ac:dyDescent="0.35">
      <c r="A20" s="844" t="s">
        <v>471</v>
      </c>
      <c r="B20" s="619"/>
      <c r="C20" s="619"/>
      <c r="D20" s="859"/>
      <c r="E20" s="846"/>
      <c r="F20" s="860"/>
      <c r="I20" s="1560" t="s">
        <v>486</v>
      </c>
      <c r="J20" s="1560"/>
      <c r="K20" s="1526"/>
      <c r="L20" s="1566" t="s">
        <v>171</v>
      </c>
      <c r="M20" s="1562"/>
    </row>
    <row r="21" spans="1:13" x14ac:dyDescent="0.35">
      <c r="A21" s="844" t="s">
        <v>472</v>
      </c>
      <c r="B21" s="846">
        <f>+B18*0.0765</f>
        <v>3171.2616000000003</v>
      </c>
      <c r="C21" s="846">
        <f>+C18*0.0765</f>
        <v>2814.8328000000001</v>
      </c>
      <c r="D21" s="859"/>
      <c r="E21" s="846">
        <f>+E18*0.0765</f>
        <v>3261.96</v>
      </c>
      <c r="F21" s="860">
        <f>+F18*0.0765</f>
        <v>3341.52</v>
      </c>
      <c r="I21" s="1560"/>
      <c r="J21" s="1560"/>
      <c r="K21" s="1526"/>
      <c r="L21" s="1558" t="s">
        <v>481</v>
      </c>
      <c r="M21" s="1559"/>
    </row>
    <row r="22" spans="1:13" x14ac:dyDescent="0.35">
      <c r="A22" s="844" t="s">
        <v>473</v>
      </c>
      <c r="B22" s="619"/>
      <c r="C22" s="619"/>
      <c r="D22" s="619"/>
      <c r="E22" s="619"/>
      <c r="F22" s="841"/>
      <c r="I22" s="1560"/>
      <c r="J22" s="1560"/>
      <c r="K22" s="1526"/>
      <c r="L22" s="869" t="s">
        <v>482</v>
      </c>
      <c r="M22" s="870" t="s">
        <v>483</v>
      </c>
    </row>
    <row r="23" spans="1:13" x14ac:dyDescent="0.35">
      <c r="A23" s="861" t="s">
        <v>475</v>
      </c>
      <c r="B23" s="848">
        <f>+B18+B21</f>
        <v>44625.661599999999</v>
      </c>
      <c r="C23" s="848">
        <f>+C18+C21</f>
        <v>39610.032800000001</v>
      </c>
      <c r="D23" s="862"/>
      <c r="E23" s="848">
        <f>+E18+E21</f>
        <v>45901.96</v>
      </c>
      <c r="F23" s="849">
        <f>+F18+F21</f>
        <v>47021.52</v>
      </c>
      <c r="I23" s="1560"/>
      <c r="J23" s="1560"/>
      <c r="K23" s="1526"/>
      <c r="L23" s="871">
        <v>15623.14</v>
      </c>
      <c r="M23" s="872">
        <v>17272.5</v>
      </c>
    </row>
    <row r="24" spans="1:13" x14ac:dyDescent="0.35">
      <c r="C24" s="868"/>
      <c r="D24" s="864" t="s">
        <v>477</v>
      </c>
      <c r="E24" s="865">
        <f>+E23-B23</f>
        <v>1276.2983999999997</v>
      </c>
      <c r="F24" s="866">
        <f>+F23-B23</f>
        <v>2395.8583999999973</v>
      </c>
      <c r="I24" s="1560"/>
      <c r="J24" s="1560"/>
      <c r="K24" s="1526"/>
      <c r="L24" s="873">
        <f>+M23-L23</f>
        <v>1649.3600000000006</v>
      </c>
      <c r="M24" s="478" t="s">
        <v>484</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9" t="s">
        <v>80</v>
      </c>
      <c r="C1" s="327"/>
      <c r="D1" s="327"/>
      <c r="E1" s="327"/>
    </row>
    <row r="2" spans="1:9" ht="23.25" customHeight="1" x14ac:dyDescent="0.35">
      <c r="E2" s="328" t="s">
        <v>79</v>
      </c>
    </row>
    <row r="3" spans="1:9" x14ac:dyDescent="0.35">
      <c r="E3" s="1567" t="s">
        <v>143</v>
      </c>
      <c r="F3" s="1569" t="s">
        <v>143</v>
      </c>
      <c r="G3" s="1570"/>
      <c r="H3" s="1570"/>
      <c r="I3" s="1571"/>
    </row>
    <row r="4" spans="1:9" s="2" customFormat="1" x14ac:dyDescent="0.35">
      <c r="A4" s="41"/>
      <c r="D4" s="13"/>
      <c r="E4" s="1568"/>
      <c r="F4" s="324" t="s">
        <v>219</v>
      </c>
      <c r="G4" s="325" t="s">
        <v>220</v>
      </c>
      <c r="H4" s="325" t="s">
        <v>221</v>
      </c>
      <c r="I4" s="325"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218</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163</v>
      </c>
      <c r="D64" s="212"/>
      <c r="E64" s="234">
        <v>480</v>
      </c>
    </row>
    <row r="65" spans="1:8" x14ac:dyDescent="0.35">
      <c r="A65" s="40">
        <v>85</v>
      </c>
      <c r="C65" s="208" t="s">
        <v>35</v>
      </c>
      <c r="D65" s="215"/>
      <c r="E65" s="242">
        <v>1000</v>
      </c>
      <c r="F65" s="326">
        <v>0.4</v>
      </c>
      <c r="G65" s="326">
        <v>0.2</v>
      </c>
      <c r="H65" s="326">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163</v>
      </c>
      <c r="D72" s="212"/>
      <c r="E72" s="218">
        <v>480</v>
      </c>
    </row>
    <row r="73" spans="1:8" x14ac:dyDescent="0.35">
      <c r="C73" s="204" t="s">
        <v>99</v>
      </c>
      <c r="D73" s="212"/>
      <c r="E73" s="218">
        <v>350</v>
      </c>
    </row>
    <row r="74" spans="1:8" x14ac:dyDescent="0.35">
      <c r="A74" s="40">
        <v>90</v>
      </c>
      <c r="C74" s="208" t="s">
        <v>168</v>
      </c>
      <c r="D74" s="215"/>
      <c r="E74" s="219">
        <v>2000</v>
      </c>
      <c r="F74" s="326">
        <v>0.4</v>
      </c>
      <c r="G74" s="326">
        <v>0.4</v>
      </c>
      <c r="H74" s="326">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172</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572" t="s">
        <v>212</v>
      </c>
      <c r="D89" s="1572"/>
      <c r="E89" s="234">
        <v>3000</v>
      </c>
      <c r="F89" s="1">
        <v>3000</v>
      </c>
    </row>
    <row r="90" spans="1:7" x14ac:dyDescent="0.35">
      <c r="C90" s="204" t="s">
        <v>210</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6">
        <v>0.33300000000000002</v>
      </c>
      <c r="G97" s="326">
        <v>0.33300000000000002</v>
      </c>
      <c r="H97" s="326">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572" t="s">
        <v>136</v>
      </c>
      <c r="D104" s="1572"/>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572" t="s">
        <v>92</v>
      </c>
      <c r="D126" s="1572"/>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30">
        <v>164734.65720000005</v>
      </c>
      <c r="G141" s="330">
        <v>103945.78110000001</v>
      </c>
      <c r="H141" s="330">
        <v>128013.94220000002</v>
      </c>
      <c r="I141" s="330">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435" t="s">
        <v>80</v>
      </c>
      <c r="B1" s="1435"/>
      <c r="C1" s="1435"/>
      <c r="D1" s="1435"/>
      <c r="E1" s="1435"/>
      <c r="F1" s="1435"/>
      <c r="G1" s="1435"/>
    </row>
    <row r="4" spans="1:9" ht="29.5" customHeight="1" x14ac:dyDescent="0.35">
      <c r="C4" s="1380" t="str">
        <f>Bud_Yr&amp;" Budget"</f>
        <v>2025 Budget</v>
      </c>
      <c r="D4" s="1382" t="s">
        <v>324</v>
      </c>
      <c r="E4" s="1382" t="str">
        <f>Bud_Yr-1&amp;" Budget"</f>
        <v>2024 Budget</v>
      </c>
      <c r="F4" s="1374" t="str">
        <f>Bud_Yr&amp;" Budget vs             "&amp;Bud_Yr-1&amp;" Budget"</f>
        <v>2025 Budget vs             2024 Budget</v>
      </c>
      <c r="G4" s="1375"/>
    </row>
    <row r="5" spans="1:9" x14ac:dyDescent="0.35">
      <c r="C5" s="1573"/>
      <c r="D5" s="1383"/>
      <c r="E5" s="1574"/>
      <c r="F5" s="469" t="s">
        <v>104</v>
      </c>
      <c r="G5" s="470" t="s">
        <v>105</v>
      </c>
    </row>
    <row r="6" spans="1:9" x14ac:dyDescent="0.35">
      <c r="B6" s="471" t="s">
        <v>250</v>
      </c>
      <c r="C6" s="614">
        <f>+'New Year-Full Year'!Q17</f>
        <v>10000</v>
      </c>
      <c r="D6" s="614">
        <f>+E6+1500</f>
        <v>18650</v>
      </c>
      <c r="E6" s="614">
        <f>+'New Year-Full Year'!R17</f>
        <v>17150</v>
      </c>
      <c r="F6" s="472">
        <f>+C6-E6</f>
        <v>-7150</v>
      </c>
      <c r="G6" s="473">
        <f>IF(E6=0,"NA",(+C6-E6)/E6)</f>
        <v>-0.41690962099125367</v>
      </c>
      <c r="I6" s="498"/>
    </row>
    <row r="7" spans="1:9" x14ac:dyDescent="0.35">
      <c r="B7" s="474" t="s">
        <v>251</v>
      </c>
      <c r="C7" s="234" t="e">
        <f>+'New Year-Full Year'!#REF!</f>
        <v>#REF!</v>
      </c>
      <c r="D7" s="234" t="e">
        <f>+E7</f>
        <v>#REF!</v>
      </c>
      <c r="E7" s="234" t="e">
        <f>+'New Year-Full Year'!#REF!</f>
        <v>#REF!</v>
      </c>
      <c r="F7" s="202" t="e">
        <f>+C7-E7</f>
        <v>#REF!</v>
      </c>
      <c r="G7" s="475" t="e">
        <f>IF(E7=0,"NA",(+C7-E7)/E7)</f>
        <v>#REF!</v>
      </c>
    </row>
    <row r="8" spans="1:9" x14ac:dyDescent="0.35">
      <c r="B8" s="474" t="s">
        <v>252</v>
      </c>
      <c r="C8" s="234">
        <f>+'New Year-Full Year'!Q18</f>
        <v>500</v>
      </c>
      <c r="D8" s="234">
        <f>+E8+1000</f>
        <v>1500</v>
      </c>
      <c r="E8" s="234">
        <f>+'New Year-Full Year'!R18</f>
        <v>500</v>
      </c>
      <c r="F8" s="202">
        <f t="shared" ref="F8:F14" si="0">+C8-E8</f>
        <v>0</v>
      </c>
      <c r="G8" s="475">
        <f t="shared" ref="G8:G14" si="1">IF(E8=0,"NA",(+C8-E8)/E8)</f>
        <v>0</v>
      </c>
    </row>
    <row r="9" spans="1:9" x14ac:dyDescent="0.35">
      <c r="B9" s="474" t="s">
        <v>258</v>
      </c>
      <c r="C9" s="234">
        <f>+'New Year-Full Year'!Q19</f>
        <v>1500</v>
      </c>
      <c r="D9" s="234">
        <f>+E9+1000</f>
        <v>2500</v>
      </c>
      <c r="E9" s="234">
        <f>+'New Year-Full Year'!R19</f>
        <v>1500</v>
      </c>
      <c r="F9" s="202">
        <f t="shared" si="0"/>
        <v>0</v>
      </c>
      <c r="G9" s="475">
        <f t="shared" si="1"/>
        <v>0</v>
      </c>
    </row>
    <row r="10" spans="1:9" x14ac:dyDescent="0.35">
      <c r="B10" s="474" t="s">
        <v>253</v>
      </c>
      <c r="C10" s="234">
        <f>+'New Year-Full Year'!Q20</f>
        <v>750</v>
      </c>
      <c r="D10" s="234">
        <f>+E10</f>
        <v>750</v>
      </c>
      <c r="E10" s="234">
        <f>+'New Year-Full Year'!R20</f>
        <v>750</v>
      </c>
      <c r="F10" s="202">
        <f t="shared" si="0"/>
        <v>0</v>
      </c>
      <c r="G10" s="475">
        <f t="shared" si="1"/>
        <v>0</v>
      </c>
    </row>
    <row r="11" spans="1:9" x14ac:dyDescent="0.35">
      <c r="B11" s="474" t="s">
        <v>254</v>
      </c>
      <c r="C11" s="234">
        <f>+'New Year-Full Year'!Q21</f>
        <v>500</v>
      </c>
      <c r="D11" s="234">
        <f>+E11+1000</f>
        <v>2000</v>
      </c>
      <c r="E11" s="234">
        <f>+'New Year-Full Year'!R21</f>
        <v>1000</v>
      </c>
      <c r="F11" s="202">
        <f t="shared" si="0"/>
        <v>-500</v>
      </c>
      <c r="G11" s="475">
        <f t="shared" si="1"/>
        <v>-0.5</v>
      </c>
    </row>
    <row r="12" spans="1:9" x14ac:dyDescent="0.35">
      <c r="B12" s="474" t="s">
        <v>255</v>
      </c>
      <c r="C12" s="234">
        <f>+'New Year-Full Year'!Q25</f>
        <v>1000</v>
      </c>
      <c r="D12" s="234">
        <f>+E12+500</f>
        <v>1500</v>
      </c>
      <c r="E12" s="234">
        <f>+'New Year-Full Year'!R25</f>
        <v>1000</v>
      </c>
      <c r="F12" s="202">
        <f t="shared" si="0"/>
        <v>0</v>
      </c>
      <c r="G12" s="475">
        <f t="shared" si="1"/>
        <v>0</v>
      </c>
    </row>
    <row r="13" spans="1:9" x14ac:dyDescent="0.35">
      <c r="B13" s="474" t="s">
        <v>256</v>
      </c>
      <c r="C13" s="234">
        <f>+'New Year-Full Year'!Q26</f>
        <v>1000</v>
      </c>
      <c r="D13" s="234">
        <f>+E13+1000</f>
        <v>2000</v>
      </c>
      <c r="E13" s="234">
        <f>+'New Year-Full Year'!R26</f>
        <v>1000</v>
      </c>
      <c r="F13" s="202">
        <f t="shared" si="0"/>
        <v>0</v>
      </c>
      <c r="G13" s="475">
        <f t="shared" si="1"/>
        <v>0</v>
      </c>
    </row>
    <row r="14" spans="1:9" x14ac:dyDescent="0.35">
      <c r="B14" s="474" t="s">
        <v>257</v>
      </c>
      <c r="C14" s="234">
        <f>+'New Year-Full Year'!Q27</f>
        <v>1000</v>
      </c>
      <c r="D14" s="234">
        <f>+E14+500</f>
        <v>1500</v>
      </c>
      <c r="E14" s="234">
        <f>+'New Year-Full Year'!R27</f>
        <v>1000</v>
      </c>
      <c r="F14" s="202">
        <f t="shared" si="0"/>
        <v>0</v>
      </c>
      <c r="G14" s="475">
        <f t="shared" si="1"/>
        <v>0</v>
      </c>
    </row>
    <row r="15" spans="1:9" x14ac:dyDescent="0.35">
      <c r="B15" s="476" t="s">
        <v>126</v>
      </c>
      <c r="C15" s="617" t="e">
        <f>+SUM(C6:C14)</f>
        <v>#REF!</v>
      </c>
      <c r="D15" s="617" t="e">
        <f>+SUM(D6:D14)</f>
        <v>#REF!</v>
      </c>
      <c r="E15" s="617" t="e">
        <f>+SUM(E6:E14)</f>
        <v>#REF!</v>
      </c>
      <c r="F15" s="477" t="e">
        <f>+SUM(F6:F14)</f>
        <v>#REF!</v>
      </c>
      <c r="G15" s="478"/>
    </row>
  </sheetData>
  <mergeCells count="5">
    <mergeCell ref="C4:C5"/>
    <mergeCell ref="E4:E5"/>
    <mergeCell ref="F4:G4"/>
    <mergeCell ref="A1:G1"/>
    <mergeCell ref="D4:D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6" customWidth="1"/>
    <col min="2" max="2" width="39.6328125" style="566" customWidth="1"/>
    <col min="3" max="3" width="15" style="566" hidden="1" customWidth="1"/>
    <col min="4" max="4" width="1.453125" style="593" customWidth="1"/>
    <col min="5" max="6" width="16" style="566" customWidth="1"/>
    <col min="7" max="7" width="1.453125" style="566" customWidth="1"/>
    <col min="8" max="8" width="16.08984375" style="566" customWidth="1"/>
    <col min="9" max="9" width="1.453125" style="566" customWidth="1"/>
    <col min="10" max="10" width="16.08984375" style="566" customWidth="1"/>
    <col min="11" max="16384" width="8.7265625" style="566"/>
  </cols>
  <sheetData>
    <row r="1" spans="1:11" ht="26" x14ac:dyDescent="0.6">
      <c r="B1" s="1577" t="s">
        <v>80</v>
      </c>
      <c r="C1" s="1577"/>
      <c r="D1" s="1577"/>
      <c r="E1" s="1577"/>
      <c r="F1" s="1577"/>
      <c r="G1" s="1577"/>
      <c r="H1" s="1577"/>
      <c r="I1" s="1577"/>
      <c r="J1" s="1577"/>
    </row>
    <row r="2" spans="1:11" x14ac:dyDescent="0.5">
      <c r="D2" s="595"/>
    </row>
    <row r="3" spans="1:11" x14ac:dyDescent="0.5">
      <c r="D3" s="597"/>
      <c r="E3" s="1575">
        <v>2020</v>
      </c>
      <c r="F3" s="1576"/>
      <c r="G3" s="604"/>
      <c r="H3" s="584">
        <v>2021</v>
      </c>
      <c r="I3" s="608"/>
      <c r="J3" s="598"/>
    </row>
    <row r="4" spans="1:11" ht="53" customHeight="1" x14ac:dyDescent="0.5">
      <c r="B4" s="578"/>
      <c r="C4" s="573" t="s">
        <v>321</v>
      </c>
      <c r="D4" s="600"/>
      <c r="E4" s="573" t="s">
        <v>304</v>
      </c>
      <c r="F4" s="573" t="s">
        <v>318</v>
      </c>
      <c r="G4" s="605"/>
      <c r="H4" s="573" t="s">
        <v>319</v>
      </c>
      <c r="I4" s="609"/>
      <c r="J4" s="573" t="s">
        <v>320</v>
      </c>
      <c r="K4" s="578"/>
    </row>
    <row r="5" spans="1:11" x14ac:dyDescent="0.5">
      <c r="B5" s="578" t="s">
        <v>313</v>
      </c>
      <c r="C5" s="594"/>
      <c r="D5" s="590"/>
      <c r="E5" s="571">
        <v>56200</v>
      </c>
      <c r="F5" s="571" t="e">
        <f>+'Summary New Year'!J108</f>
        <v>#REF!</v>
      </c>
      <c r="G5" s="576"/>
      <c r="H5" s="571" t="e">
        <f>+'New Year-Full Year'!Q141</f>
        <v>#REF!</v>
      </c>
      <c r="I5" s="587"/>
      <c r="J5" s="589"/>
      <c r="K5" s="578"/>
    </row>
    <row r="6" spans="1:11" x14ac:dyDescent="0.5">
      <c r="B6" s="578" t="s">
        <v>312</v>
      </c>
      <c r="C6" s="595"/>
      <c r="D6" s="590"/>
      <c r="E6" s="569">
        <v>5000</v>
      </c>
      <c r="F6" s="569"/>
      <c r="G6" s="576"/>
      <c r="H6" s="588"/>
      <c r="I6" s="587"/>
      <c r="J6" s="590"/>
      <c r="K6" s="578"/>
    </row>
    <row r="7" spans="1:11" x14ac:dyDescent="0.5">
      <c r="B7" s="599" t="s">
        <v>315</v>
      </c>
      <c r="C7" s="596"/>
      <c r="D7" s="591"/>
      <c r="E7" s="574">
        <f>+E5-E6</f>
        <v>51200</v>
      </c>
      <c r="F7" s="574" t="e">
        <f>+F5-F6</f>
        <v>#REF!</v>
      </c>
      <c r="G7" s="586"/>
      <c r="H7" s="574" t="e">
        <f>+H5-H6</f>
        <v>#REF!</v>
      </c>
      <c r="I7" s="591"/>
      <c r="J7" s="591"/>
      <c r="K7" s="578"/>
    </row>
    <row r="8" spans="1:11" x14ac:dyDescent="0.5">
      <c r="B8" s="578"/>
      <c r="D8" s="595"/>
      <c r="G8" s="578"/>
      <c r="I8" s="578"/>
      <c r="K8" s="578"/>
    </row>
    <row r="9" spans="1:11" x14ac:dyDescent="0.5">
      <c r="B9" s="599" t="s">
        <v>305</v>
      </c>
      <c r="D9" s="595"/>
      <c r="G9" s="578"/>
      <c r="I9" s="578"/>
      <c r="K9" s="578"/>
    </row>
    <row r="10" spans="1:11" x14ac:dyDescent="0.5">
      <c r="A10" s="567" t="s">
        <v>306</v>
      </c>
      <c r="B10" s="578" t="s">
        <v>317</v>
      </c>
      <c r="C10" s="571">
        <v>13765.63</v>
      </c>
      <c r="D10" s="601"/>
      <c r="E10" s="570"/>
      <c r="F10" s="575">
        <v>20000</v>
      </c>
      <c r="G10" s="585"/>
      <c r="H10" s="571"/>
      <c r="I10" s="590"/>
      <c r="J10" s="611">
        <f>SUM(C10:H10)</f>
        <v>33765.629999999997</v>
      </c>
      <c r="K10" s="578"/>
    </row>
    <row r="11" spans="1:11" x14ac:dyDescent="0.5">
      <c r="A11" s="567" t="s">
        <v>307</v>
      </c>
      <c r="B11" s="578" t="s">
        <v>310</v>
      </c>
      <c r="C11" s="588">
        <v>29502.66</v>
      </c>
      <c r="D11" s="601"/>
      <c r="E11" s="581">
        <f>+$E$7/2</f>
        <v>25600</v>
      </c>
      <c r="F11" s="577">
        <v>10000</v>
      </c>
      <c r="G11" s="585"/>
      <c r="H11" s="588">
        <f>+'New Year-Full Year'!Q128</f>
        <v>0</v>
      </c>
      <c r="I11" s="590"/>
      <c r="J11" s="581">
        <f>SUM(C11:H11)</f>
        <v>65102.66</v>
      </c>
      <c r="K11" s="578"/>
    </row>
    <row r="12" spans="1:11" x14ac:dyDescent="0.5">
      <c r="A12" s="567" t="s">
        <v>308</v>
      </c>
      <c r="B12" s="578" t="s">
        <v>316</v>
      </c>
      <c r="C12" s="588">
        <v>168816.55</v>
      </c>
      <c r="D12" s="602"/>
      <c r="E12" s="582"/>
      <c r="F12" s="579" t="e">
        <f>+F7-F10-F11</f>
        <v>#REF!</v>
      </c>
      <c r="G12" s="606"/>
      <c r="H12" s="592"/>
      <c r="I12" s="610"/>
      <c r="J12" s="592" t="e">
        <f>SUM(C12:H12)</f>
        <v>#REF!</v>
      </c>
      <c r="K12" s="578"/>
    </row>
    <row r="13" spans="1:11" x14ac:dyDescent="0.5">
      <c r="A13" s="567" t="s">
        <v>309</v>
      </c>
      <c r="B13" s="578" t="s">
        <v>311</v>
      </c>
      <c r="C13" s="569">
        <v>29502.66</v>
      </c>
      <c r="D13" s="572"/>
      <c r="E13" s="583">
        <f>+$E$7/2</f>
        <v>25600</v>
      </c>
      <c r="F13" s="580"/>
      <c r="G13" s="607"/>
      <c r="H13" s="568"/>
      <c r="I13" s="595"/>
      <c r="J13" s="583">
        <f>SUM(C13:H13)</f>
        <v>55102.66</v>
      </c>
      <c r="K13" s="578"/>
    </row>
    <row r="14" spans="1:11" x14ac:dyDescent="0.5">
      <c r="B14" s="599" t="s">
        <v>314</v>
      </c>
      <c r="C14" s="574">
        <f>SUM(C10:C13)</f>
        <v>241587.5</v>
      </c>
      <c r="D14" s="603"/>
      <c r="E14" s="574">
        <f>SUM(E10:E13)</f>
        <v>51200</v>
      </c>
      <c r="F14" s="574" t="e">
        <f>SUM(F10:F13)</f>
        <v>#REF!</v>
      </c>
      <c r="G14" s="586"/>
      <c r="H14" s="574">
        <f>SUM(H10:H13)</f>
        <v>0</v>
      </c>
      <c r="I14" s="591"/>
      <c r="J14" s="574" t="e">
        <f>SUM(J10:J13)</f>
        <v>#REF!</v>
      </c>
      <c r="K14" s="578"/>
    </row>
  </sheetData>
  <mergeCells count="2">
    <mergeCell ref="E3:F3"/>
    <mergeCell ref="B1:J1"/>
  </mergeCells>
  <pageMargins left="0.7" right="0.7" top="0.75" bottom="0.75" header="0.3" footer="0.3"/>
  <pageSetup orientation="landscape" horizontalDpi="0" verticalDpi="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0" customWidth="1"/>
    <col min="2" max="2" width="15.7265625" style="560" customWidth="1"/>
    <col min="3" max="3" width="100.453125" style="560" customWidth="1"/>
    <col min="4" max="16384" width="8.7265625" style="560"/>
  </cols>
  <sheetData>
    <row r="1" spans="1:3" ht="26" x14ac:dyDescent="0.35">
      <c r="A1" s="1578" t="s">
        <v>290</v>
      </c>
      <c r="B1" s="1578"/>
      <c r="C1" s="1578"/>
    </row>
    <row r="3" spans="1:3" ht="42" customHeight="1" x14ac:dyDescent="0.35">
      <c r="A3" s="561" t="s">
        <v>291</v>
      </c>
      <c r="B3" s="563">
        <v>3000</v>
      </c>
      <c r="C3" s="562" t="s">
        <v>300</v>
      </c>
    </row>
    <row r="4" spans="1:3" ht="42" customHeight="1" x14ac:dyDescent="0.35">
      <c r="A4" s="561" t="s">
        <v>292</v>
      </c>
      <c r="B4" s="563">
        <v>4000</v>
      </c>
      <c r="C4" s="562" t="s">
        <v>294</v>
      </c>
    </row>
    <row r="5" spans="1:3" ht="42" customHeight="1" x14ac:dyDescent="0.35">
      <c r="A5" s="561" t="s">
        <v>293</v>
      </c>
      <c r="B5" s="563">
        <v>2759</v>
      </c>
      <c r="C5" s="562" t="s">
        <v>298</v>
      </c>
    </row>
    <row r="6" spans="1:3" ht="42" customHeight="1" x14ac:dyDescent="0.35">
      <c r="A6" s="561" t="s">
        <v>296</v>
      </c>
      <c r="B6" s="563">
        <v>8000</v>
      </c>
      <c r="C6" s="562" t="s">
        <v>295</v>
      </c>
    </row>
    <row r="7" spans="1:3" ht="42" customHeight="1" x14ac:dyDescent="0.35">
      <c r="A7" s="561" t="s">
        <v>297</v>
      </c>
      <c r="B7" s="563">
        <v>8185</v>
      </c>
      <c r="C7" s="562" t="s">
        <v>299</v>
      </c>
    </row>
  </sheetData>
  <mergeCells count="1">
    <mergeCell ref="A1:C1"/>
  </mergeCells>
  <pageMargins left="0.7" right="0.7" top="0.75" bottom="0.75" header="0.3" footer="0.3"/>
  <pageSetup orientation="landscape"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436" t="s">
        <v>269</v>
      </c>
      <c r="B1" s="1436"/>
      <c r="C1" s="1436"/>
      <c r="D1" s="1436"/>
      <c r="E1" s="1436"/>
      <c r="F1" s="1436"/>
      <c r="G1" s="1436"/>
      <c r="H1" s="1436"/>
      <c r="I1" s="1436"/>
      <c r="J1" s="1436"/>
      <c r="K1" s="1436"/>
    </row>
    <row r="2" spans="1:11" s="718" customFormat="1" ht="10" customHeight="1" x14ac:dyDescent="0.35">
      <c r="B2" s="719"/>
      <c r="C2" s="720"/>
      <c r="D2" s="720"/>
      <c r="E2" s="721"/>
      <c r="I2" s="720"/>
      <c r="J2" s="720"/>
      <c r="K2" s="720"/>
    </row>
    <row r="3" spans="1:11" ht="37.5" customHeight="1" x14ac:dyDescent="0.35">
      <c r="C3" s="370" t="s">
        <v>263</v>
      </c>
      <c r="D3" s="349" t="s">
        <v>224</v>
      </c>
      <c r="E3" s="550" t="s">
        <v>374</v>
      </c>
      <c r="G3" s="704"/>
      <c r="H3" s="705"/>
      <c r="I3" s="349" t="s">
        <v>373</v>
      </c>
      <c r="J3" s="370" t="s">
        <v>500</v>
      </c>
      <c r="K3" s="370" t="s">
        <v>501</v>
      </c>
    </row>
    <row r="4" spans="1:11" ht="14.5" customHeight="1" x14ac:dyDescent="0.35">
      <c r="A4" s="1516" t="s">
        <v>266</v>
      </c>
      <c r="B4" s="377" t="s">
        <v>36</v>
      </c>
      <c r="C4" s="371">
        <v>40802</v>
      </c>
      <c r="D4" s="371">
        <v>40802</v>
      </c>
      <c r="E4" s="143">
        <v>42687</v>
      </c>
      <c r="F4" s="1524" t="s">
        <v>375</v>
      </c>
      <c r="G4" s="1525"/>
      <c r="H4" s="1526"/>
      <c r="I4" s="371">
        <v>44553</v>
      </c>
      <c r="J4" s="371">
        <v>7425.5</v>
      </c>
      <c r="K4" s="371">
        <v>44553</v>
      </c>
    </row>
    <row r="5" spans="1:11" ht="15" thickBot="1" x14ac:dyDescent="0.4">
      <c r="A5" s="1517"/>
      <c r="B5" s="141" t="s">
        <v>125</v>
      </c>
      <c r="C5" s="148">
        <v>17487</v>
      </c>
      <c r="D5" s="148">
        <v>17487</v>
      </c>
      <c r="E5" s="374">
        <v>20000</v>
      </c>
      <c r="F5" s="1524"/>
      <c r="G5" s="1525"/>
      <c r="H5" s="1526"/>
      <c r="I5" s="374">
        <v>20000</v>
      </c>
      <c r="J5" s="791">
        <v>3333.3333333333335</v>
      </c>
      <c r="K5" s="374">
        <v>20000</v>
      </c>
    </row>
    <row r="6" spans="1:11" ht="14.5" customHeight="1" x14ac:dyDescent="0.35">
      <c r="A6" s="1517"/>
      <c r="B6" s="141" t="s">
        <v>126</v>
      </c>
      <c r="C6" s="372">
        <v>58289</v>
      </c>
      <c r="D6" s="372">
        <v>58289</v>
      </c>
      <c r="E6" s="152">
        <v>62687</v>
      </c>
      <c r="F6" s="1524"/>
      <c r="G6" s="1525"/>
      <c r="H6" s="1526"/>
      <c r="I6" s="877">
        <v>64553</v>
      </c>
      <c r="J6" s="877">
        <v>10758.833333333334</v>
      </c>
      <c r="K6" s="877">
        <v>64553</v>
      </c>
    </row>
    <row r="7" spans="1:11" ht="7.5" customHeight="1" x14ac:dyDescent="0.35">
      <c r="A7" s="1517"/>
      <c r="B7" s="1579" t="s">
        <v>503</v>
      </c>
      <c r="C7" s="146"/>
      <c r="D7" s="146"/>
      <c r="E7" s="146"/>
      <c r="I7" s="146"/>
      <c r="J7" s="146"/>
      <c r="K7" s="146"/>
    </row>
    <row r="8" spans="1:11" ht="26.5" customHeight="1" x14ac:dyDescent="0.35">
      <c r="A8" s="1517"/>
      <c r="B8" s="1579"/>
      <c r="C8" s="165">
        <v>0</v>
      </c>
      <c r="D8" s="165">
        <v>0</v>
      </c>
      <c r="E8" s="165">
        <v>2400</v>
      </c>
      <c r="I8" s="165">
        <v>2400</v>
      </c>
      <c r="J8" s="355">
        <v>0</v>
      </c>
      <c r="K8" s="165">
        <v>2000</v>
      </c>
    </row>
    <row r="9" spans="1:11" ht="8" customHeight="1" x14ac:dyDescent="0.35">
      <c r="A9" s="1517"/>
      <c r="B9" s="1579"/>
      <c r="C9" s="146"/>
      <c r="D9" s="146"/>
      <c r="E9" s="146"/>
      <c r="I9" s="146"/>
      <c r="J9" s="146"/>
      <c r="K9" s="146"/>
    </row>
    <row r="10" spans="1:11" ht="14.5" customHeight="1" x14ac:dyDescent="0.35">
      <c r="A10" s="1517"/>
      <c r="B10" s="160" t="s">
        <v>142</v>
      </c>
      <c r="C10" s="350">
        <v>58289</v>
      </c>
      <c r="D10" s="350">
        <v>29145</v>
      </c>
      <c r="E10" s="488">
        <v>65087</v>
      </c>
      <c r="I10" s="350">
        <v>66953</v>
      </c>
      <c r="J10" s="350">
        <v>10758.833333333334</v>
      </c>
      <c r="K10" s="350">
        <v>66553</v>
      </c>
    </row>
    <row r="11" spans="1:11" x14ac:dyDescent="0.35">
      <c r="A11" s="1517"/>
      <c r="B11" s="153" t="s">
        <v>232</v>
      </c>
      <c r="C11" s="165">
        <v>4459</v>
      </c>
      <c r="D11" s="165">
        <v>2230</v>
      </c>
      <c r="E11" s="165">
        <v>4979</v>
      </c>
      <c r="F11" s="116"/>
      <c r="I11" s="165">
        <v>5122</v>
      </c>
      <c r="J11" s="165">
        <v>823</v>
      </c>
      <c r="K11" s="165">
        <v>5091</v>
      </c>
    </row>
    <row r="12" spans="1:11" ht="21" customHeight="1" x14ac:dyDescent="0.35">
      <c r="A12" s="1518"/>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516" t="s">
        <v>234</v>
      </c>
      <c r="B14" s="139"/>
      <c r="C14" s="492"/>
      <c r="D14" s="492"/>
      <c r="E14" s="493"/>
      <c r="I14" s="493"/>
      <c r="J14" s="493"/>
      <c r="K14" s="492"/>
    </row>
    <row r="15" spans="1:11" ht="14.5" customHeight="1" x14ac:dyDescent="0.35">
      <c r="A15" s="1517"/>
      <c r="B15" s="161" t="s">
        <v>502</v>
      </c>
      <c r="C15" s="146"/>
      <c r="D15" s="155"/>
      <c r="E15" s="387">
        <v>0</v>
      </c>
      <c r="F15" s="744"/>
      <c r="G15" s="744"/>
      <c r="H15" s="744"/>
      <c r="I15" s="387">
        <v>0</v>
      </c>
      <c r="J15" s="387">
        <v>3340</v>
      </c>
      <c r="K15" s="356">
        <v>3340</v>
      </c>
    </row>
    <row r="16" spans="1:11" ht="9.5" customHeight="1" x14ac:dyDescent="0.35">
      <c r="A16" s="1518"/>
      <c r="B16" s="168"/>
      <c r="C16" s="489"/>
      <c r="D16" s="700"/>
      <c r="E16" s="172"/>
      <c r="I16" s="172"/>
      <c r="J16" s="172"/>
      <c r="K16" s="172"/>
    </row>
    <row r="17" spans="1:11" ht="7" customHeight="1" x14ac:dyDescent="0.35">
      <c r="B17" s="173"/>
      <c r="D17" s="173"/>
      <c r="E17" s="173"/>
      <c r="I17" s="173"/>
      <c r="J17" s="173"/>
      <c r="K17" s="173"/>
    </row>
    <row r="18" spans="1:11" ht="7" customHeight="1" x14ac:dyDescent="0.35">
      <c r="A18" s="1516" t="s">
        <v>127</v>
      </c>
      <c r="B18" s="174"/>
      <c r="C18" s="375">
        <v>0.1</v>
      </c>
      <c r="D18" s="375">
        <v>0.1</v>
      </c>
      <c r="E18" s="357">
        <v>0.1</v>
      </c>
      <c r="I18" s="357"/>
      <c r="J18" s="357"/>
      <c r="K18" s="357"/>
    </row>
    <row r="19" spans="1:11" x14ac:dyDescent="0.35">
      <c r="A19" s="1517"/>
      <c r="B19" s="153" t="s">
        <v>241</v>
      </c>
      <c r="C19" s="143"/>
      <c r="D19" s="143"/>
      <c r="E19" s="549">
        <v>0.16</v>
      </c>
      <c r="I19" s="549">
        <v>0.16</v>
      </c>
      <c r="J19" s="549">
        <v>0.1</v>
      </c>
      <c r="K19" s="549"/>
    </row>
    <row r="20" spans="1:11" x14ac:dyDescent="0.35">
      <c r="A20" s="1518"/>
      <c r="B20" s="168" t="s">
        <v>151</v>
      </c>
      <c r="C20" s="172">
        <v>6275</v>
      </c>
      <c r="D20" s="172">
        <v>3138</v>
      </c>
      <c r="E20" s="353">
        <v>11211</v>
      </c>
      <c r="I20" s="353">
        <v>11532</v>
      </c>
      <c r="J20" s="353">
        <v>1158</v>
      </c>
      <c r="K20" s="353">
        <v>10665</v>
      </c>
    </row>
    <row r="21" spans="1:11" ht="7" customHeight="1" x14ac:dyDescent="0.35">
      <c r="B21" s="173"/>
      <c r="D21" s="173"/>
      <c r="E21" s="173"/>
      <c r="I21" s="173"/>
      <c r="J21" s="173"/>
      <c r="K21" s="173"/>
    </row>
    <row r="22" spans="1:11" x14ac:dyDescent="0.35">
      <c r="A22" s="1516" t="s">
        <v>128</v>
      </c>
      <c r="B22" s="139" t="s">
        <v>407</v>
      </c>
      <c r="C22" s="375">
        <v>1.4999999999999999E-2</v>
      </c>
      <c r="D22" s="375">
        <v>1.4999999999999999E-2</v>
      </c>
      <c r="E22" s="375">
        <v>1.4999999999999999E-2</v>
      </c>
      <c r="I22" s="375">
        <v>1.4999999999999999E-2</v>
      </c>
      <c r="J22" s="375">
        <v>1.4999999999999999E-2</v>
      </c>
      <c r="K22" s="375">
        <v>1.4999999999999999E-2</v>
      </c>
    </row>
    <row r="23" spans="1:11" x14ac:dyDescent="0.35">
      <c r="A23" s="1517"/>
      <c r="B23" s="153" t="s">
        <v>408</v>
      </c>
      <c r="C23" s="358">
        <v>7.0000000000000001E-3</v>
      </c>
      <c r="D23" s="358">
        <v>7.0000000000000001E-3</v>
      </c>
      <c r="E23" s="358">
        <v>7.0000000000000001E-3</v>
      </c>
      <c r="I23" s="358">
        <v>7.0000000000000001E-3</v>
      </c>
      <c r="J23" s="358">
        <v>7.0000000000000001E-3</v>
      </c>
      <c r="K23" s="358">
        <v>7.0000000000000001E-3</v>
      </c>
    </row>
    <row r="24" spans="1:11" hidden="1" x14ac:dyDescent="0.35">
      <c r="A24" s="1517"/>
      <c r="B24" s="153" t="s">
        <v>235</v>
      </c>
      <c r="C24" s="358">
        <v>7.0000000000000001E-3</v>
      </c>
      <c r="D24" s="358">
        <v>7.0000000000000001E-3</v>
      </c>
      <c r="E24" s="358">
        <v>0</v>
      </c>
      <c r="F24" s="1511" t="s">
        <v>267</v>
      </c>
      <c r="G24" s="1512"/>
      <c r="H24" s="1513"/>
      <c r="I24" s="358">
        <v>0</v>
      </c>
      <c r="J24" s="358">
        <v>0</v>
      </c>
      <c r="K24" s="358">
        <v>0</v>
      </c>
    </row>
    <row r="25" spans="1:11" x14ac:dyDescent="0.35">
      <c r="A25" s="1517"/>
      <c r="B25" s="153" t="s">
        <v>409</v>
      </c>
      <c r="C25" s="359">
        <v>2.8999999999999998E-2</v>
      </c>
      <c r="D25" s="359">
        <v>2.8999999999999998E-2</v>
      </c>
      <c r="E25" s="359">
        <v>2.1999999999999999E-2</v>
      </c>
      <c r="I25" s="359">
        <v>2.1999999999999999E-2</v>
      </c>
      <c r="J25" s="359">
        <v>2.1999999999999999E-2</v>
      </c>
      <c r="K25" s="359">
        <v>2.1999999999999999E-2</v>
      </c>
    </row>
    <row r="26" spans="1:11" x14ac:dyDescent="0.35">
      <c r="A26" s="1517"/>
      <c r="B26" s="153" t="s">
        <v>152</v>
      </c>
      <c r="C26" s="143">
        <v>62748</v>
      </c>
      <c r="D26" s="143">
        <v>31375</v>
      </c>
      <c r="E26" s="143">
        <v>70066</v>
      </c>
      <c r="I26" s="143">
        <v>72075</v>
      </c>
      <c r="J26" s="143">
        <v>11581.833333333334</v>
      </c>
      <c r="K26" s="143">
        <v>71644</v>
      </c>
    </row>
    <row r="27" spans="1:11" x14ac:dyDescent="0.35">
      <c r="A27" s="1518"/>
      <c r="B27" s="129" t="s">
        <v>155</v>
      </c>
      <c r="C27" s="172">
        <v>1820</v>
      </c>
      <c r="D27" s="172">
        <v>910</v>
      </c>
      <c r="E27" s="490">
        <v>1541</v>
      </c>
      <c r="I27" s="172">
        <v>1586</v>
      </c>
      <c r="J27" s="172">
        <v>255</v>
      </c>
      <c r="K27" s="172">
        <v>1576</v>
      </c>
    </row>
    <row r="28" spans="1:11" ht="7.5" customHeight="1" x14ac:dyDescent="0.35">
      <c r="D28" s="173"/>
      <c r="I28" s="173"/>
      <c r="J28" s="173"/>
      <c r="K28" s="173"/>
    </row>
    <row r="29" spans="1:11" x14ac:dyDescent="0.35">
      <c r="A29" s="1516" t="s">
        <v>99</v>
      </c>
      <c r="B29" s="121" t="s">
        <v>160</v>
      </c>
      <c r="C29" s="494">
        <v>1200</v>
      </c>
      <c r="D29" s="701">
        <v>600</v>
      </c>
      <c r="E29" s="494">
        <v>1200</v>
      </c>
      <c r="I29" s="494">
        <v>1200</v>
      </c>
      <c r="J29" s="701">
        <v>200</v>
      </c>
      <c r="K29" s="701">
        <v>1200</v>
      </c>
    </row>
    <row r="30" spans="1:11" x14ac:dyDescent="0.35">
      <c r="A30" s="1517"/>
      <c r="B30" s="123" t="s">
        <v>504</v>
      </c>
      <c r="C30" s="352">
        <v>750</v>
      </c>
      <c r="D30" s="376">
        <v>375</v>
      </c>
      <c r="E30" s="352">
        <v>1300</v>
      </c>
      <c r="I30" s="352">
        <v>1300</v>
      </c>
      <c r="J30" s="376">
        <v>216.66666666666666</v>
      </c>
      <c r="K30" s="376">
        <v>1300</v>
      </c>
    </row>
    <row r="31" spans="1:11" x14ac:dyDescent="0.35">
      <c r="A31" s="1517"/>
      <c r="B31" s="123" t="s">
        <v>99</v>
      </c>
      <c r="C31" s="352">
        <v>600</v>
      </c>
      <c r="D31" s="376">
        <v>300</v>
      </c>
      <c r="E31" s="352">
        <v>600</v>
      </c>
      <c r="I31" s="352">
        <v>600</v>
      </c>
      <c r="J31" s="376">
        <v>100</v>
      </c>
      <c r="K31" s="376">
        <v>600</v>
      </c>
    </row>
    <row r="32" spans="1:11" x14ac:dyDescent="0.35">
      <c r="A32" s="1517"/>
      <c r="B32" s="153" t="s">
        <v>170</v>
      </c>
      <c r="C32" s="352">
        <v>480</v>
      </c>
      <c r="D32" s="376">
        <v>240</v>
      </c>
      <c r="E32" s="352">
        <v>480</v>
      </c>
      <c r="F32" s="257"/>
      <c r="G32" s="257"/>
      <c r="H32" s="257"/>
      <c r="I32" s="352">
        <v>480</v>
      </c>
      <c r="J32" s="376">
        <v>80</v>
      </c>
      <c r="K32" s="376">
        <v>480</v>
      </c>
    </row>
    <row r="33" spans="1:11" hidden="1" x14ac:dyDescent="0.35">
      <c r="A33" s="1517"/>
      <c r="B33" s="153" t="s">
        <v>230</v>
      </c>
      <c r="C33" s="352">
        <v>300</v>
      </c>
      <c r="D33" s="352">
        <v>300</v>
      </c>
      <c r="E33" s="352"/>
      <c r="F33" s="257"/>
      <c r="G33" s="257"/>
      <c r="H33" s="257"/>
      <c r="I33" s="352"/>
      <c r="J33" s="352"/>
      <c r="K33" s="352"/>
    </row>
    <row r="34" spans="1:11" x14ac:dyDescent="0.35">
      <c r="A34" s="1518"/>
      <c r="B34" s="134" t="s">
        <v>162</v>
      </c>
      <c r="C34" s="353">
        <v>3330</v>
      </c>
      <c r="D34" s="353">
        <v>1815</v>
      </c>
      <c r="E34" s="491">
        <v>3580</v>
      </c>
      <c r="H34" s="116"/>
      <c r="I34" s="353">
        <v>3580</v>
      </c>
      <c r="J34" s="353">
        <v>596.66666666666663</v>
      </c>
      <c r="K34" s="353">
        <v>3580</v>
      </c>
    </row>
    <row r="35" spans="1:11" ht="8" customHeight="1" x14ac:dyDescent="0.35">
      <c r="D35" s="173"/>
    </row>
    <row r="36" spans="1:11" x14ac:dyDescent="0.35">
      <c r="B36" s="137" t="s">
        <v>236</v>
      </c>
      <c r="C36" s="354">
        <v>96198</v>
      </c>
      <c r="D36" s="354">
        <v>48251</v>
      </c>
      <c r="E36" s="138">
        <v>86398</v>
      </c>
      <c r="F36" s="116"/>
      <c r="G36" s="559"/>
      <c r="H36" s="379"/>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436" t="s">
        <v>403</v>
      </c>
      <c r="B1" s="1436"/>
      <c r="C1" s="1436"/>
      <c r="D1" s="1436"/>
      <c r="E1" s="1436"/>
      <c r="F1" s="1436"/>
      <c r="G1" s="1436"/>
      <c r="H1" s="1436"/>
      <c r="I1" s="1436"/>
      <c r="J1" s="1436"/>
      <c r="K1" s="1436"/>
      <c r="L1" s="1436"/>
      <c r="M1" s="1436"/>
      <c r="N1" s="1436"/>
      <c r="O1" s="1436"/>
      <c r="P1" s="1436"/>
      <c r="Q1" s="1436"/>
      <c r="R1" s="1436"/>
      <c r="S1" s="1436"/>
      <c r="T1" s="1436"/>
      <c r="U1" s="1436"/>
      <c r="V1" s="1436"/>
      <c r="W1" s="1436"/>
      <c r="X1" s="1436"/>
      <c r="Y1" s="1436"/>
    </row>
    <row r="2" spans="1:25" x14ac:dyDescent="0.35">
      <c r="A2" s="876" t="s">
        <v>488</v>
      </c>
      <c r="K2" s="717"/>
      <c r="L2" s="1584"/>
      <c r="M2" s="1584"/>
      <c r="N2" s="1584"/>
      <c r="O2" s="1584"/>
      <c r="P2" s="1584"/>
      <c r="Q2" s="741"/>
      <c r="R2" s="1584"/>
      <c r="S2" s="1584"/>
      <c r="T2" s="1584"/>
      <c r="U2" s="1584"/>
      <c r="V2" s="1585"/>
    </row>
    <row r="3" spans="1:25" ht="43.5" customHeight="1" x14ac:dyDescent="0.35">
      <c r="A3" s="761" t="s">
        <v>430</v>
      </c>
      <c r="B3" s="1580">
        <v>2018</v>
      </c>
      <c r="C3" s="1581"/>
      <c r="D3" s="1581"/>
      <c r="E3" s="1581"/>
      <c r="F3" s="1582"/>
      <c r="G3" s="349" t="s">
        <v>143</v>
      </c>
      <c r="H3" s="110" t="s">
        <v>159</v>
      </c>
      <c r="I3" s="349" t="s">
        <v>224</v>
      </c>
      <c r="K3" s="733" t="s">
        <v>289</v>
      </c>
      <c r="L3" s="734" t="s">
        <v>282</v>
      </c>
      <c r="M3" s="734" t="s">
        <v>283</v>
      </c>
      <c r="N3" s="735" t="s">
        <v>284</v>
      </c>
      <c r="O3" s="735" t="s">
        <v>285</v>
      </c>
      <c r="P3" s="734" t="s">
        <v>286</v>
      </c>
      <c r="Q3" s="736" t="s">
        <v>373</v>
      </c>
      <c r="R3" s="734" t="s">
        <v>282</v>
      </c>
      <c r="S3" s="504" t="s">
        <v>283</v>
      </c>
      <c r="T3" s="505" t="s">
        <v>284</v>
      </c>
      <c r="U3" s="505" t="s">
        <v>285</v>
      </c>
      <c r="V3" s="504" t="s">
        <v>286</v>
      </c>
      <c r="W3" s="1522" t="str">
        <f>"To Buy Back one week of vacation is $"&amp;ROUND(+Q11/52,2)&amp;"0 per week or $"&amp;ROUND(+Q11/52,0)/5&amp;" Per day."</f>
        <v>To Buy Back one week of vacation is $1509.60 per week or $302 Per day.</v>
      </c>
      <c r="X3" s="1523"/>
      <c r="Y3" s="1523"/>
    </row>
    <row r="4" spans="1:25" ht="14.5" customHeight="1" x14ac:dyDescent="0.35">
      <c r="A4" s="377" t="s">
        <v>36</v>
      </c>
      <c r="B4" s="142">
        <v>52894</v>
      </c>
      <c r="C4" s="96">
        <f>+B7-C6</f>
        <v>46762</v>
      </c>
      <c r="D4" s="96">
        <f>+B7-D6</f>
        <v>46762</v>
      </c>
      <c r="E4" s="96">
        <f>+B4</f>
        <v>52894</v>
      </c>
      <c r="F4" s="106"/>
      <c r="G4" s="143">
        <f>+B7-G6</f>
        <v>46322</v>
      </c>
      <c r="H4" s="143"/>
      <c r="I4" s="143">
        <f>71540-22000</f>
        <v>49540</v>
      </c>
      <c r="K4" s="143">
        <f>+K11-K6</f>
        <v>52510</v>
      </c>
      <c r="L4" s="507">
        <f>+L7-L6</f>
        <v>53618</v>
      </c>
      <c r="M4" s="507">
        <f>+I4*(1+0.02)</f>
        <v>50530.8</v>
      </c>
      <c r="N4" s="507">
        <f>+I4*(1+0.01)</f>
        <v>50035.4</v>
      </c>
      <c r="O4" s="507">
        <f>+I4</f>
        <v>49540</v>
      </c>
      <c r="P4" s="507">
        <f>+I4*(1+0.026)+1110</f>
        <v>51938.04</v>
      </c>
      <c r="Q4" s="112">
        <f>+V4</f>
        <v>56499</v>
      </c>
      <c r="R4" s="507">
        <f>+R7-R6</f>
        <v>58551</v>
      </c>
      <c r="S4" s="507">
        <f>+S7-S6</f>
        <v>54000.2</v>
      </c>
      <c r="T4" s="507">
        <f>+T7-T6</f>
        <v>53255.100000000006</v>
      </c>
      <c r="U4" s="507">
        <f>+U7-U6</f>
        <v>52510</v>
      </c>
      <c r="V4" s="507">
        <f>+V7-V6</f>
        <v>56499</v>
      </c>
      <c r="W4" s="1586" t="str">
        <f>"For 2022, 20 years of experience plus a COLA 5% per ELCA quidelines = "&amp;ROUND((+Q7-K7)/K7,3)*100&amp;"% increase due to vacation purchase."</f>
        <v>For 2022, 20 years of experience plus a COLA 5% per ELCA quidelines = 5.4% increase due to vacation purchase.</v>
      </c>
      <c r="X4" s="1587"/>
      <c r="Y4" s="1587"/>
    </row>
    <row r="5" spans="1:25" ht="8" hidden="1" customHeight="1" x14ac:dyDescent="0.35">
      <c r="A5" s="141"/>
      <c r="B5" s="144">
        <v>0.3</v>
      </c>
      <c r="C5" s="98"/>
      <c r="D5" s="98"/>
      <c r="E5" s="97">
        <v>0.3</v>
      </c>
      <c r="F5" s="145"/>
      <c r="G5" s="146"/>
      <c r="H5" s="146"/>
      <c r="I5" s="146"/>
      <c r="K5" s="146"/>
      <c r="L5" s="508"/>
      <c r="M5" s="508"/>
      <c r="N5" s="508"/>
      <c r="O5" s="508"/>
      <c r="P5" s="508"/>
      <c r="Q5" s="113"/>
      <c r="R5" s="508"/>
      <c r="S5" s="508"/>
      <c r="T5" s="508"/>
      <c r="U5" s="508"/>
      <c r="V5" s="508"/>
      <c r="W5" s="1586"/>
      <c r="X5" s="1587"/>
      <c r="Y5" s="1587"/>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9">
        <v>22000</v>
      </c>
      <c r="M6" s="510">
        <f>+I6*(1+0.02)</f>
        <v>22440</v>
      </c>
      <c r="N6" s="510">
        <f>+I6*(1+0.01)</f>
        <v>22220</v>
      </c>
      <c r="O6" s="510">
        <f>+I6</f>
        <v>22000</v>
      </c>
      <c r="P6" s="510">
        <f>+I6*(1+0.026)</f>
        <v>22572</v>
      </c>
      <c r="Q6" s="114">
        <v>22000</v>
      </c>
      <c r="R6" s="510">
        <f>+$Q6</f>
        <v>22000</v>
      </c>
      <c r="S6" s="510">
        <f>+$Q6</f>
        <v>22000</v>
      </c>
      <c r="T6" s="510">
        <f>+$Q6</f>
        <v>22000</v>
      </c>
      <c r="U6" s="510">
        <f>+$Q6</f>
        <v>22000</v>
      </c>
      <c r="V6" s="510">
        <f>+$Q6</f>
        <v>22000</v>
      </c>
      <c r="W6" s="1586"/>
      <c r="X6" s="1587"/>
      <c r="Y6" s="1587"/>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6">
        <v>75618</v>
      </c>
      <c r="M7" s="511">
        <f>+M4+M6</f>
        <v>72970.8</v>
      </c>
      <c r="N7" s="511">
        <f>+N4+N6</f>
        <v>72255.399999999994</v>
      </c>
      <c r="O7" s="511">
        <f>+O4+O6</f>
        <v>71540</v>
      </c>
      <c r="P7" s="511">
        <f>+P4+P6</f>
        <v>74510.040000000008</v>
      </c>
      <c r="Q7" s="115">
        <f>+Q4+Q6</f>
        <v>78499</v>
      </c>
      <c r="R7" s="546">
        <v>80551</v>
      </c>
      <c r="S7" s="511">
        <f>+$K7*(1+0.02)</f>
        <v>76000.2</v>
      </c>
      <c r="T7" s="511">
        <f>+$K7*(1+0.01)</f>
        <v>75255.100000000006</v>
      </c>
      <c r="U7" s="511">
        <f>+$K7*(1+0)</f>
        <v>74510</v>
      </c>
      <c r="V7" s="546">
        <f>ROUND(($K7*(1+0.026))+(R7-($K7*(1+0.026)))/2,0)</f>
        <v>78499</v>
      </c>
      <c r="W7" s="731"/>
      <c r="X7" s="732"/>
      <c r="Y7" s="732"/>
    </row>
    <row r="8" spans="1:25" ht="4" hidden="1" customHeight="1" x14ac:dyDescent="0.35">
      <c r="A8" s="153"/>
      <c r="B8" s="153"/>
      <c r="C8" s="154"/>
      <c r="D8" s="154"/>
      <c r="E8" s="154"/>
      <c r="F8" s="155"/>
      <c r="G8" s="146"/>
      <c r="H8" s="146"/>
      <c r="I8" s="146"/>
      <c r="K8" s="146"/>
      <c r="L8" s="508"/>
      <c r="M8" s="508"/>
      <c r="N8" s="508"/>
      <c r="O8" s="508"/>
      <c r="P8" s="508"/>
      <c r="Q8" s="113"/>
      <c r="R8" s="508"/>
      <c r="S8" s="508"/>
      <c r="T8" s="508"/>
      <c r="U8" s="508"/>
      <c r="V8" s="508"/>
      <c r="W8" s="731"/>
      <c r="X8" s="732"/>
      <c r="Y8" s="732"/>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2">
        <v>1</v>
      </c>
      <c r="M9" s="512">
        <v>1</v>
      </c>
      <c r="N9" s="512">
        <v>1</v>
      </c>
      <c r="O9" s="512">
        <v>1</v>
      </c>
      <c r="P9" s="512">
        <v>1</v>
      </c>
      <c r="Q9" s="107">
        <v>1</v>
      </c>
      <c r="R9" s="512">
        <v>1</v>
      </c>
      <c r="S9" s="512">
        <v>1</v>
      </c>
      <c r="T9" s="512">
        <v>1</v>
      </c>
      <c r="U9" s="512">
        <v>1</v>
      </c>
      <c r="V9" s="512">
        <v>1</v>
      </c>
      <c r="W9" s="731"/>
      <c r="X9" s="732"/>
      <c r="Y9" s="732"/>
    </row>
    <row r="10" spans="1:25" ht="6.5" hidden="1" customHeight="1" x14ac:dyDescent="0.35">
      <c r="A10" s="153"/>
      <c r="B10" s="153"/>
      <c r="C10" s="154"/>
      <c r="D10" s="154"/>
      <c r="E10" s="154"/>
      <c r="F10" s="155"/>
      <c r="G10" s="146"/>
      <c r="H10" s="146"/>
      <c r="I10" s="146"/>
      <c r="K10" s="146"/>
      <c r="L10" s="508"/>
      <c r="M10" s="508"/>
      <c r="N10" s="508"/>
      <c r="O10" s="508"/>
      <c r="P10" s="508"/>
      <c r="Q10" s="113"/>
      <c r="R10" s="508"/>
      <c r="S10" s="508"/>
      <c r="T10" s="508"/>
      <c r="U10" s="508"/>
      <c r="V10" s="508"/>
      <c r="W10" s="731"/>
      <c r="X10" s="732"/>
      <c r="Y10" s="732"/>
    </row>
    <row r="11" spans="1:25" ht="14.5" hidden="1" customHeight="1" x14ac:dyDescent="0.35">
      <c r="A11" s="160" t="s">
        <v>142</v>
      </c>
      <c r="B11" s="161"/>
      <c r="C11" s="162">
        <f>+C7*C9</f>
        <v>65896.916666666672</v>
      </c>
      <c r="D11" s="162">
        <f>+D7*D9</f>
        <v>65896.916666666672</v>
      </c>
      <c r="E11" s="162">
        <f>+E7*E9</f>
        <v>68762</v>
      </c>
      <c r="F11" s="163">
        <f>+C7*F9</f>
        <v>68762</v>
      </c>
      <c r="G11" s="350">
        <f>ROUND(+G7*(1+G12),0)</f>
        <v>70137</v>
      </c>
      <c r="H11" s="164"/>
      <c r="I11" s="350">
        <f>ROUND(+I7*I9,0)</f>
        <v>71540</v>
      </c>
      <c r="K11" s="488">
        <f t="shared" ref="K11:V11" si="0">ROUND(+K7*K9,0)</f>
        <v>74510</v>
      </c>
      <c r="L11" s="515">
        <f t="shared" si="0"/>
        <v>75618</v>
      </c>
      <c r="M11" s="515">
        <f t="shared" si="0"/>
        <v>72971</v>
      </c>
      <c r="N11" s="515">
        <f t="shared" si="0"/>
        <v>72255</v>
      </c>
      <c r="O11" s="515">
        <f t="shared" si="0"/>
        <v>71540</v>
      </c>
      <c r="P11" s="515">
        <f t="shared" si="0"/>
        <v>74510</v>
      </c>
      <c r="Q11" s="117">
        <f t="shared" si="0"/>
        <v>78499</v>
      </c>
      <c r="R11" s="515">
        <f t="shared" si="0"/>
        <v>80551</v>
      </c>
      <c r="S11" s="515">
        <f t="shared" si="0"/>
        <v>76000</v>
      </c>
      <c r="T11" s="515">
        <f t="shared" si="0"/>
        <v>75255</v>
      </c>
      <c r="U11" s="515">
        <f t="shared" si="0"/>
        <v>74510</v>
      </c>
      <c r="V11" s="515">
        <f t="shared" si="0"/>
        <v>78499</v>
      </c>
      <c r="W11" s="731"/>
      <c r="X11" s="732"/>
      <c r="Y11" s="732"/>
    </row>
    <row r="12" spans="1:25" ht="15" hidden="1" thickBot="1" x14ac:dyDescent="0.4">
      <c r="A12" s="141" t="s">
        <v>404</v>
      </c>
      <c r="B12" s="153"/>
      <c r="C12" s="157">
        <v>0</v>
      </c>
      <c r="D12" s="157">
        <v>0</v>
      </c>
      <c r="E12" s="157">
        <v>0</v>
      </c>
      <c r="F12" s="158">
        <v>0</v>
      </c>
      <c r="G12" s="358">
        <v>0.02</v>
      </c>
      <c r="H12" s="159"/>
      <c r="I12" s="548">
        <f>+I11/G11-1</f>
        <v>2.0003707030525897E-2</v>
      </c>
      <c r="K12" s="548">
        <f>+K11/I11-1</f>
        <v>4.1515236231478791E-2</v>
      </c>
      <c r="L12" s="513">
        <f>+L11/O11-1</f>
        <v>5.7003075202683773E-2</v>
      </c>
      <c r="M12" s="513">
        <f>+M11/O11-1</f>
        <v>2.0002795638803361E-2</v>
      </c>
      <c r="N12" s="513">
        <f>+N11/O11-1</f>
        <v>9.9944087223931E-3</v>
      </c>
      <c r="O12" s="514">
        <v>0</v>
      </c>
      <c r="P12" s="513">
        <f>+P11/O11-1</f>
        <v>4.1515236231478791E-2</v>
      </c>
      <c r="Q12" s="382">
        <f>+Q11/K11-1</f>
        <v>5.3536438062005143E-2</v>
      </c>
      <c r="R12" s="513">
        <f>+R11/$K11-1</f>
        <v>8.1076365588511612E-2</v>
      </c>
      <c r="S12" s="513">
        <f>+S11/$K11-1</f>
        <v>1.9997315796537407E-2</v>
      </c>
      <c r="T12" s="513">
        <f>+T11/$K11-1</f>
        <v>9.9986578982687035E-3</v>
      </c>
      <c r="U12" s="513">
        <f>+U11/$K11-1</f>
        <v>0</v>
      </c>
      <c r="V12" s="513">
        <f>+V11/$K11-1</f>
        <v>5.3536438062005143E-2</v>
      </c>
      <c r="W12" s="731"/>
      <c r="X12" s="732"/>
      <c r="Y12" s="732"/>
    </row>
    <row r="13" spans="1:25" ht="15" hidden="1" customHeight="1" x14ac:dyDescent="0.35">
      <c r="A13" s="1579" t="s">
        <v>402</v>
      </c>
      <c r="B13" s="153"/>
      <c r="C13" s="154"/>
      <c r="D13" s="154"/>
      <c r="E13" s="154"/>
      <c r="F13" s="155"/>
      <c r="G13" s="146"/>
      <c r="H13" s="146"/>
      <c r="I13" s="146"/>
      <c r="K13" s="146"/>
      <c r="L13" s="508"/>
      <c r="M13" s="508"/>
      <c r="N13" s="508"/>
      <c r="O13" s="508"/>
      <c r="P13" s="508"/>
      <c r="Q13" s="113"/>
      <c r="R13" s="508"/>
      <c r="S13" s="508"/>
      <c r="T13" s="508"/>
      <c r="U13" s="508"/>
      <c r="V13" s="508"/>
      <c r="W13" s="742"/>
      <c r="X13" s="743"/>
      <c r="Y13" s="743"/>
    </row>
    <row r="14" spans="1:25" ht="14.5" hidden="1" customHeight="1" x14ac:dyDescent="0.35">
      <c r="A14" s="1579"/>
      <c r="B14" s="153"/>
      <c r="C14" s="96">
        <f>+C28</f>
        <v>0</v>
      </c>
      <c r="D14" s="96">
        <f>+D28</f>
        <v>0</v>
      </c>
      <c r="E14" s="96">
        <f>+E28</f>
        <v>8015</v>
      </c>
      <c r="F14" s="106">
        <f>+F28</f>
        <v>0</v>
      </c>
      <c r="G14" s="165">
        <f>+G30</f>
        <v>2600</v>
      </c>
      <c r="H14" s="165"/>
      <c r="I14" s="165">
        <f>+I30</f>
        <v>3467</v>
      </c>
      <c r="K14" s="165">
        <f t="shared" ref="K14:V14" si="1">+K30</f>
        <v>0</v>
      </c>
      <c r="L14" s="516">
        <f t="shared" si="1"/>
        <v>0</v>
      </c>
      <c r="M14" s="516">
        <f t="shared" si="1"/>
        <v>3467</v>
      </c>
      <c r="N14" s="516">
        <f t="shared" si="1"/>
        <v>3467</v>
      </c>
      <c r="O14" s="516">
        <f t="shared" si="1"/>
        <v>3467</v>
      </c>
      <c r="P14" s="516">
        <f t="shared" si="1"/>
        <v>3467</v>
      </c>
      <c r="Q14" s="108">
        <f t="shared" si="1"/>
        <v>0</v>
      </c>
      <c r="R14" s="516">
        <f t="shared" si="1"/>
        <v>0</v>
      </c>
      <c r="S14" s="516">
        <f t="shared" si="1"/>
        <v>0</v>
      </c>
      <c r="T14" s="516">
        <f t="shared" si="1"/>
        <v>0</v>
      </c>
      <c r="U14" s="516">
        <f t="shared" si="1"/>
        <v>0</v>
      </c>
      <c r="V14" s="516">
        <f t="shared" si="1"/>
        <v>0</v>
      </c>
      <c r="W14" s="742"/>
      <c r="X14" s="743"/>
      <c r="Y14" s="743"/>
    </row>
    <row r="15" spans="1:25" ht="8" hidden="1" customHeight="1" thickBot="1" x14ac:dyDescent="0.4">
      <c r="A15" s="166"/>
      <c r="B15" s="153"/>
      <c r="C15" s="154"/>
      <c r="D15" s="154"/>
      <c r="E15" s="154"/>
      <c r="F15" s="155"/>
      <c r="G15" s="146"/>
      <c r="H15" s="146"/>
      <c r="I15" s="146"/>
      <c r="K15" s="146"/>
      <c r="L15" s="508"/>
      <c r="M15" s="508"/>
      <c r="N15" s="508"/>
      <c r="O15" s="508"/>
      <c r="P15" s="508"/>
      <c r="Q15" s="113"/>
      <c r="R15" s="508"/>
      <c r="S15" s="508"/>
      <c r="T15" s="508"/>
      <c r="U15" s="508"/>
      <c r="V15" s="508"/>
      <c r="W15" s="716"/>
      <c r="X15" s="716"/>
      <c r="Y15" s="716"/>
    </row>
    <row r="16" spans="1:25" ht="14.5" customHeight="1" x14ac:dyDescent="0.35">
      <c r="A16" s="160" t="s">
        <v>142</v>
      </c>
      <c r="B16" s="161"/>
      <c r="C16" s="162">
        <f>+C11+C14</f>
        <v>65896.916666666672</v>
      </c>
      <c r="D16" s="162">
        <f>+D11+D14</f>
        <v>65896.916666666672</v>
      </c>
      <c r="E16" s="162">
        <f>+E11+E14</f>
        <v>76777</v>
      </c>
      <c r="F16" s="163">
        <f>+F11+F14</f>
        <v>68762</v>
      </c>
      <c r="G16" s="350">
        <f>+G11+G14</f>
        <v>72737</v>
      </c>
      <c r="H16" s="164">
        <f>50297+22440</f>
        <v>72737</v>
      </c>
      <c r="I16" s="350">
        <f>+I11+I14</f>
        <v>75007</v>
      </c>
      <c r="K16" s="350">
        <f t="shared" ref="K16:V16" si="2">+K11+K14</f>
        <v>74510</v>
      </c>
      <c r="L16" s="515">
        <f t="shared" si="2"/>
        <v>75618</v>
      </c>
      <c r="M16" s="515">
        <f t="shared" si="2"/>
        <v>76438</v>
      </c>
      <c r="N16" s="515">
        <f t="shared" si="2"/>
        <v>75722</v>
      </c>
      <c r="O16" s="515">
        <f t="shared" si="2"/>
        <v>75007</v>
      </c>
      <c r="P16" s="515">
        <f t="shared" si="2"/>
        <v>77977</v>
      </c>
      <c r="Q16" s="117">
        <f t="shared" si="2"/>
        <v>78499</v>
      </c>
      <c r="R16" s="515">
        <f t="shared" si="2"/>
        <v>80551</v>
      </c>
      <c r="S16" s="515">
        <f t="shared" si="2"/>
        <v>76000</v>
      </c>
      <c r="T16" s="515">
        <f t="shared" si="2"/>
        <v>75255</v>
      </c>
      <c r="U16" s="515">
        <f t="shared" si="2"/>
        <v>74510</v>
      </c>
      <c r="V16" s="775">
        <f t="shared" si="2"/>
        <v>78499</v>
      </c>
      <c r="W16" s="1588"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589"/>
      <c r="Y16" s="1590"/>
    </row>
    <row r="17" spans="1:25" x14ac:dyDescent="0.35">
      <c r="A17" s="153" t="s">
        <v>421</v>
      </c>
      <c r="B17" s="153"/>
      <c r="C17" s="104">
        <v>7.6499999999999999E-2</v>
      </c>
      <c r="D17" s="104">
        <v>7.6499999999999999E-2</v>
      </c>
      <c r="E17" s="104">
        <v>7.6499999999999999E-2</v>
      </c>
      <c r="F17" s="105">
        <v>7.6499999999999999E-2</v>
      </c>
      <c r="G17" s="167">
        <v>7.6499999999999999E-2</v>
      </c>
      <c r="H17" s="167">
        <v>7.6499999999999999E-2</v>
      </c>
      <c r="I17" s="167">
        <v>7.6499999999999999E-2</v>
      </c>
      <c r="K17" s="383">
        <v>7.6499999999999999E-2</v>
      </c>
      <c r="L17" s="517">
        <v>7.6499999999999999E-2</v>
      </c>
      <c r="M17" s="517">
        <v>7.6499999999999999E-2</v>
      </c>
      <c r="N17" s="517">
        <v>7.6499999999999999E-2</v>
      </c>
      <c r="O17" s="517">
        <v>7.6499999999999999E-2</v>
      </c>
      <c r="P17" s="517">
        <v>7.6499999999999999E-2</v>
      </c>
      <c r="Q17" s="556">
        <v>7.6499999999999999E-2</v>
      </c>
      <c r="R17" s="708">
        <f>+$Q17</f>
        <v>7.6499999999999999E-2</v>
      </c>
      <c r="S17" s="709">
        <f>+$Q17</f>
        <v>7.6499999999999999E-2</v>
      </c>
      <c r="T17" s="709">
        <f>+$Q17</f>
        <v>7.6499999999999999E-2</v>
      </c>
      <c r="U17" s="709">
        <f>+$Q17</f>
        <v>7.6499999999999999E-2</v>
      </c>
      <c r="V17" s="778">
        <f>+$Q17</f>
        <v>7.6499999999999999E-2</v>
      </c>
      <c r="W17" s="1591"/>
      <c r="X17" s="1592"/>
      <c r="Y17" s="1593"/>
    </row>
    <row r="18" spans="1:25" x14ac:dyDescent="0.35">
      <c r="A18" s="153" t="s">
        <v>232</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6">
        <f t="shared" si="4"/>
        <v>5785</v>
      </c>
      <c r="M18" s="516">
        <f t="shared" si="4"/>
        <v>5848</v>
      </c>
      <c r="N18" s="516">
        <f t="shared" si="4"/>
        <v>5793</v>
      </c>
      <c r="O18" s="516">
        <f t="shared" si="4"/>
        <v>5738</v>
      </c>
      <c r="P18" s="516">
        <f t="shared" si="4"/>
        <v>5965</v>
      </c>
      <c r="Q18" s="108">
        <f t="shared" si="4"/>
        <v>6005</v>
      </c>
      <c r="R18" s="516">
        <f t="shared" si="4"/>
        <v>6162</v>
      </c>
      <c r="S18" s="516">
        <f t="shared" si="4"/>
        <v>5814</v>
      </c>
      <c r="T18" s="516">
        <f t="shared" si="4"/>
        <v>5757</v>
      </c>
      <c r="U18" s="516">
        <f t="shared" si="4"/>
        <v>5700</v>
      </c>
      <c r="V18" s="773">
        <f t="shared" si="4"/>
        <v>6005</v>
      </c>
      <c r="W18" s="1591"/>
      <c r="X18" s="1592"/>
      <c r="Y18" s="1593"/>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8">
        <f t="shared" si="6"/>
        <v>81403</v>
      </c>
      <c r="M19" s="518">
        <f t="shared" si="6"/>
        <v>82286</v>
      </c>
      <c r="N19" s="518">
        <f t="shared" si="6"/>
        <v>81515</v>
      </c>
      <c r="O19" s="518">
        <f t="shared" si="6"/>
        <v>80745</v>
      </c>
      <c r="P19" s="518">
        <f t="shared" si="6"/>
        <v>83942</v>
      </c>
      <c r="Q19" s="119">
        <f t="shared" si="6"/>
        <v>84504</v>
      </c>
      <c r="R19" s="518">
        <f t="shared" si="6"/>
        <v>86713</v>
      </c>
      <c r="S19" s="518">
        <f t="shared" si="6"/>
        <v>81814</v>
      </c>
      <c r="T19" s="518">
        <f t="shared" si="6"/>
        <v>81012</v>
      </c>
      <c r="U19" s="518">
        <f t="shared" si="6"/>
        <v>80210</v>
      </c>
      <c r="V19" s="777">
        <f t="shared" si="6"/>
        <v>84504</v>
      </c>
      <c r="W19" s="1594"/>
      <c r="X19" s="1595"/>
      <c r="Y19" s="1596"/>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81"/>
      <c r="X20" s="781"/>
      <c r="Y20" s="781"/>
    </row>
    <row r="21" spans="1:25" x14ac:dyDescent="0.35">
      <c r="A21" s="174" t="s">
        <v>149</v>
      </c>
      <c r="B21" s="139"/>
      <c r="C21" s="175"/>
      <c r="D21" s="175"/>
      <c r="E21" s="175"/>
      <c r="F21" s="176"/>
      <c r="G21" s="140"/>
      <c r="H21" s="176"/>
      <c r="I21" s="140"/>
      <c r="K21" s="140"/>
      <c r="L21" s="506"/>
      <c r="M21" s="519"/>
      <c r="N21" s="519"/>
      <c r="O21" s="519"/>
      <c r="P21" s="519"/>
      <c r="Q21" s="111"/>
      <c r="R21" s="506"/>
      <c r="S21" s="519"/>
      <c r="T21" s="519"/>
      <c r="U21" s="519"/>
      <c r="V21" s="779"/>
      <c r="W21" s="781"/>
      <c r="X21" s="781"/>
      <c r="Y21" s="781"/>
    </row>
    <row r="22" spans="1:25" x14ac:dyDescent="0.35">
      <c r="A22" s="153" t="s">
        <v>145</v>
      </c>
      <c r="B22" s="153"/>
      <c r="C22" s="96">
        <f>6011.15*C9</f>
        <v>5760.6854166666662</v>
      </c>
      <c r="D22" s="96"/>
      <c r="E22" s="96">
        <f>6011.15*E9</f>
        <v>6011.15</v>
      </c>
      <c r="F22" s="106">
        <f>6011.15</f>
        <v>6011.15</v>
      </c>
      <c r="G22" s="355">
        <v>4973</v>
      </c>
      <c r="H22" s="103"/>
      <c r="I22" s="355">
        <v>5121</v>
      </c>
      <c r="J22" s="486"/>
      <c r="K22" s="355">
        <v>5121</v>
      </c>
      <c r="L22" s="520">
        <v>5121</v>
      </c>
      <c r="M22" s="521">
        <v>5121</v>
      </c>
      <c r="N22" s="521">
        <v>5121</v>
      </c>
      <c r="O22" s="521">
        <v>5121</v>
      </c>
      <c r="P22" s="521">
        <v>5121</v>
      </c>
      <c r="Q22" s="555">
        <v>5385</v>
      </c>
      <c r="R22" s="516">
        <f>+$Q22</f>
        <v>5385</v>
      </c>
      <c r="S22" s="516">
        <f t="shared" ref="S22:V23" si="7">+$Q22</f>
        <v>5385</v>
      </c>
      <c r="T22" s="516">
        <f t="shared" si="7"/>
        <v>5385</v>
      </c>
      <c r="U22" s="516">
        <f t="shared" si="7"/>
        <v>5385</v>
      </c>
      <c r="V22" s="516">
        <f t="shared" si="7"/>
        <v>5385</v>
      </c>
      <c r="W22" s="109" t="s">
        <v>382</v>
      </c>
    </row>
    <row r="23" spans="1:25" x14ac:dyDescent="0.35">
      <c r="A23" s="153" t="s">
        <v>166</v>
      </c>
      <c r="B23" s="153"/>
      <c r="C23" s="95">
        <v>0</v>
      </c>
      <c r="D23" s="95">
        <v>0</v>
      </c>
      <c r="E23" s="95">
        <v>0</v>
      </c>
      <c r="F23" s="103">
        <v>0</v>
      </c>
      <c r="G23" s="355">
        <v>2600</v>
      </c>
      <c r="H23" s="103"/>
      <c r="I23" s="355">
        <v>2600</v>
      </c>
      <c r="J23" s="116"/>
      <c r="K23" s="355">
        <v>2600</v>
      </c>
      <c r="L23" s="520">
        <v>2600</v>
      </c>
      <c r="M23" s="521">
        <v>2600</v>
      </c>
      <c r="N23" s="521">
        <v>2600</v>
      </c>
      <c r="O23" s="521">
        <v>2600</v>
      </c>
      <c r="P23" s="521">
        <v>2600</v>
      </c>
      <c r="Q23" s="555">
        <v>4420</v>
      </c>
      <c r="R23" s="516">
        <f>+$Q23</f>
        <v>4420</v>
      </c>
      <c r="S23" s="516">
        <f t="shared" si="7"/>
        <v>4420</v>
      </c>
      <c r="T23" s="516">
        <f t="shared" si="7"/>
        <v>4420</v>
      </c>
      <c r="U23" s="516">
        <f t="shared" si="7"/>
        <v>4420</v>
      </c>
      <c r="V23" s="516">
        <f t="shared" si="7"/>
        <v>4420</v>
      </c>
      <c r="W23" s="109" t="s">
        <v>382</v>
      </c>
    </row>
    <row r="24" spans="1:25" ht="14.5" hidden="1" customHeight="1" x14ac:dyDescent="0.35">
      <c r="A24" s="153" t="s">
        <v>167</v>
      </c>
      <c r="B24" s="153"/>
      <c r="C24" s="96">
        <f>+C22+C23</f>
        <v>5760.6854166666662</v>
      </c>
      <c r="D24" s="96">
        <f>+D22+D23</f>
        <v>0</v>
      </c>
      <c r="E24" s="96">
        <f>+E22+E23</f>
        <v>6011.15</v>
      </c>
      <c r="F24" s="106">
        <f>+F22+F23</f>
        <v>6011.15</v>
      </c>
      <c r="G24" s="165">
        <f>+G22+G23</f>
        <v>7573</v>
      </c>
      <c r="H24" s="103"/>
      <c r="I24" s="165">
        <f>+I22+I23</f>
        <v>7721</v>
      </c>
      <c r="J24" s="1583" t="s">
        <v>239</v>
      </c>
      <c r="K24" s="165">
        <f t="shared" ref="K24:V24" si="8">+K22+K23</f>
        <v>7721</v>
      </c>
      <c r="L24" s="516">
        <f t="shared" si="8"/>
        <v>7721</v>
      </c>
      <c r="M24" s="522">
        <f t="shared" si="8"/>
        <v>7721</v>
      </c>
      <c r="N24" s="522">
        <f t="shared" si="8"/>
        <v>7721</v>
      </c>
      <c r="O24" s="522">
        <f t="shared" si="8"/>
        <v>7721</v>
      </c>
      <c r="P24" s="522">
        <f t="shared" si="8"/>
        <v>7721</v>
      </c>
      <c r="Q24" s="108">
        <f t="shared" si="8"/>
        <v>9805</v>
      </c>
      <c r="R24" s="516">
        <f t="shared" si="8"/>
        <v>9805</v>
      </c>
      <c r="S24" s="522">
        <f t="shared" si="8"/>
        <v>9805</v>
      </c>
      <c r="T24" s="522">
        <f t="shared" si="8"/>
        <v>9805</v>
      </c>
      <c r="U24" s="522">
        <f t="shared" si="8"/>
        <v>9805</v>
      </c>
      <c r="V24" s="522">
        <f t="shared" si="8"/>
        <v>9805</v>
      </c>
    </row>
    <row r="25" spans="1:25" ht="5" hidden="1" customHeight="1" x14ac:dyDescent="0.35">
      <c r="A25" s="153"/>
      <c r="B25" s="153"/>
      <c r="C25" s="104">
        <v>0.25</v>
      </c>
      <c r="D25" s="104"/>
      <c r="E25" s="104">
        <v>0.25</v>
      </c>
      <c r="F25" s="105">
        <v>0.25</v>
      </c>
      <c r="G25" s="383">
        <v>0.25</v>
      </c>
      <c r="H25" s="105"/>
      <c r="I25" s="383"/>
      <c r="J25" s="1583"/>
      <c r="K25" s="383"/>
      <c r="L25" s="523"/>
      <c r="M25" s="524"/>
      <c r="N25" s="524"/>
      <c r="O25" s="524"/>
      <c r="P25" s="524"/>
      <c r="Q25" s="556"/>
      <c r="R25" s="523"/>
      <c r="S25" s="524"/>
      <c r="T25" s="524"/>
      <c r="U25" s="524"/>
      <c r="V25" s="524"/>
    </row>
    <row r="26" spans="1:25" hidden="1" x14ac:dyDescent="0.35">
      <c r="A26" s="161" t="s">
        <v>147</v>
      </c>
      <c r="B26" s="161"/>
      <c r="C26" s="177">
        <f>ROUND(+C24/(1-C25),0)</f>
        <v>7681</v>
      </c>
      <c r="D26" s="178">
        <v>8015</v>
      </c>
      <c r="E26" s="177">
        <f>ROUND(+E24/(1-E25),0)</f>
        <v>8015</v>
      </c>
      <c r="F26" s="177">
        <f>ROUND(+F24/(1-F25),0)</f>
        <v>8015</v>
      </c>
      <c r="G26" s="356">
        <f>ROUND(+G24/(1-G25),0)</f>
        <v>10097</v>
      </c>
      <c r="H26" s="179"/>
      <c r="I26" s="356">
        <f>+I24</f>
        <v>7721</v>
      </c>
      <c r="J26" s="1583"/>
      <c r="K26" s="356">
        <f>+K22+K23</f>
        <v>7721</v>
      </c>
      <c r="L26" s="525">
        <f>+L24</f>
        <v>7721</v>
      </c>
      <c r="M26" s="526">
        <f>+M24</f>
        <v>7721</v>
      </c>
      <c r="N26" s="526">
        <f>+N24</f>
        <v>7721</v>
      </c>
      <c r="O26" s="526">
        <f>+O24</f>
        <v>7721</v>
      </c>
      <c r="P26" s="526">
        <f>+P24</f>
        <v>7721</v>
      </c>
      <c r="Q26" s="557">
        <f>+Q22+Q23</f>
        <v>9805</v>
      </c>
      <c r="R26" s="525">
        <f>+R24</f>
        <v>9805</v>
      </c>
      <c r="S26" s="526">
        <f>+S24</f>
        <v>9805</v>
      </c>
      <c r="T26" s="526">
        <f>+T24</f>
        <v>9805</v>
      </c>
      <c r="U26" s="526">
        <f>+U24</f>
        <v>9805</v>
      </c>
      <c r="V26" s="526">
        <f>+V24</f>
        <v>9805</v>
      </c>
      <c r="W26" s="109" t="s">
        <v>420</v>
      </c>
    </row>
    <row r="27" spans="1:25" ht="3.5" hidden="1" customHeight="1" x14ac:dyDescent="0.35">
      <c r="A27" s="153"/>
      <c r="B27" s="153"/>
      <c r="C27" s="96"/>
      <c r="D27" s="96"/>
      <c r="E27" s="96"/>
      <c r="F27" s="155"/>
      <c r="G27" s="146"/>
      <c r="H27" s="155"/>
      <c r="I27" s="146"/>
      <c r="J27" s="1583"/>
      <c r="K27" s="146"/>
      <c r="L27" s="508"/>
      <c r="M27" s="527"/>
      <c r="N27" s="527"/>
      <c r="O27" s="527"/>
      <c r="P27" s="527"/>
      <c r="Q27" s="113"/>
      <c r="R27" s="508"/>
      <c r="S27" s="527"/>
      <c r="T27" s="527"/>
      <c r="U27" s="527"/>
      <c r="V27" s="527"/>
    </row>
    <row r="28" spans="1:25" hidden="1" x14ac:dyDescent="0.35">
      <c r="A28" s="153" t="s">
        <v>240</v>
      </c>
      <c r="B28" s="153"/>
      <c r="C28" s="95">
        <v>0</v>
      </c>
      <c r="D28" s="95">
        <v>0</v>
      </c>
      <c r="E28" s="95">
        <v>8015</v>
      </c>
      <c r="F28" s="103">
        <v>0</v>
      </c>
      <c r="G28" s="355"/>
      <c r="H28" s="103"/>
      <c r="I28" s="355">
        <v>2600</v>
      </c>
      <c r="J28" s="1583"/>
      <c r="K28" s="355">
        <v>0</v>
      </c>
      <c r="L28" s="520">
        <v>0</v>
      </c>
      <c r="M28" s="521">
        <v>2600</v>
      </c>
      <c r="N28" s="521">
        <v>2600</v>
      </c>
      <c r="O28" s="521">
        <v>2600</v>
      </c>
      <c r="P28" s="521">
        <v>2600</v>
      </c>
      <c r="Q28" s="555">
        <v>0</v>
      </c>
      <c r="R28" s="516">
        <f t="shared" ref="R28:V29" si="9">+$Q28</f>
        <v>0</v>
      </c>
      <c r="S28" s="516">
        <f t="shared" si="9"/>
        <v>0</v>
      </c>
      <c r="T28" s="516">
        <f t="shared" si="9"/>
        <v>0</v>
      </c>
      <c r="U28" s="516">
        <f t="shared" si="9"/>
        <v>0</v>
      </c>
      <c r="V28" s="516">
        <f t="shared" si="9"/>
        <v>0</v>
      </c>
    </row>
    <row r="29" spans="1:25" hidden="1" x14ac:dyDescent="0.35">
      <c r="A29" s="153" t="s">
        <v>405</v>
      </c>
      <c r="B29" s="153"/>
      <c r="C29" s="104">
        <v>0.25</v>
      </c>
      <c r="D29" s="104"/>
      <c r="E29" s="104">
        <v>0.25</v>
      </c>
      <c r="F29" s="105">
        <v>0.25</v>
      </c>
      <c r="G29" s="167"/>
      <c r="H29" s="105"/>
      <c r="I29" s="383">
        <v>0.25</v>
      </c>
      <c r="J29" s="1583"/>
      <c r="K29" s="383">
        <v>0.25</v>
      </c>
      <c r="L29" s="523">
        <v>0.25</v>
      </c>
      <c r="M29" s="524">
        <v>0.25</v>
      </c>
      <c r="N29" s="524">
        <v>0.25</v>
      </c>
      <c r="O29" s="524">
        <v>0.25</v>
      </c>
      <c r="P29" s="524">
        <v>0.25</v>
      </c>
      <c r="Q29" s="556">
        <v>0.25</v>
      </c>
      <c r="R29" s="708">
        <f t="shared" si="9"/>
        <v>0.25</v>
      </c>
      <c r="S29" s="708">
        <f t="shared" si="9"/>
        <v>0.25</v>
      </c>
      <c r="T29" s="708">
        <f t="shared" si="9"/>
        <v>0.25</v>
      </c>
      <c r="U29" s="708">
        <f t="shared" si="9"/>
        <v>0.25</v>
      </c>
      <c r="V29" s="708">
        <f t="shared" si="9"/>
        <v>0.25</v>
      </c>
    </row>
    <row r="30" spans="1:25" hidden="1" x14ac:dyDescent="0.35">
      <c r="A30" s="161" t="s">
        <v>264</v>
      </c>
      <c r="B30" s="161"/>
      <c r="C30" s="385"/>
      <c r="D30" s="385"/>
      <c r="E30" s="385"/>
      <c r="F30" s="386"/>
      <c r="G30" s="387">
        <v>2600</v>
      </c>
      <c r="H30" s="386"/>
      <c r="I30" s="356">
        <f>ROUND(+I28/(1-I29),0)</f>
        <v>3467</v>
      </c>
      <c r="J30" s="384"/>
      <c r="K30" s="356">
        <f t="shared" ref="K30:V30" si="10">ROUND(+K28/(1-K29),0)</f>
        <v>0</v>
      </c>
      <c r="L30" s="525">
        <f t="shared" si="10"/>
        <v>0</v>
      </c>
      <c r="M30" s="526">
        <f t="shared" si="10"/>
        <v>3467</v>
      </c>
      <c r="N30" s="526">
        <f t="shared" si="10"/>
        <v>3467</v>
      </c>
      <c r="O30" s="526">
        <f t="shared" si="10"/>
        <v>3467</v>
      </c>
      <c r="P30" s="526">
        <f t="shared" si="10"/>
        <v>3467</v>
      </c>
      <c r="Q30" s="557">
        <f t="shared" si="10"/>
        <v>0</v>
      </c>
      <c r="R30" s="525">
        <f t="shared" si="10"/>
        <v>0</v>
      </c>
      <c r="S30" s="526">
        <f t="shared" si="10"/>
        <v>0</v>
      </c>
      <c r="T30" s="526">
        <f t="shared" si="10"/>
        <v>0</v>
      </c>
      <c r="U30" s="526">
        <f t="shared" si="10"/>
        <v>0</v>
      </c>
      <c r="V30" s="526">
        <f t="shared" si="10"/>
        <v>0</v>
      </c>
    </row>
    <row r="31" spans="1:25" x14ac:dyDescent="0.35">
      <c r="A31" s="168" t="s">
        <v>148</v>
      </c>
      <c r="B31" s="168"/>
      <c r="C31" s="170">
        <f>+C26-C28</f>
        <v>7681</v>
      </c>
      <c r="D31" s="170">
        <f>+D26-D28</f>
        <v>8015</v>
      </c>
      <c r="E31" s="170">
        <f>+E26-E28</f>
        <v>0</v>
      </c>
      <c r="F31" s="171">
        <f>+F26-F28</f>
        <v>8015</v>
      </c>
      <c r="G31" s="172">
        <f>+G26-G30</f>
        <v>7497</v>
      </c>
      <c r="H31" s="171"/>
      <c r="I31" s="172">
        <f>+I24-I28</f>
        <v>5121</v>
      </c>
      <c r="K31" s="172">
        <f t="shared" ref="K31:V31" si="11">+K24-K28</f>
        <v>7721</v>
      </c>
      <c r="L31" s="518">
        <f t="shared" si="11"/>
        <v>7721</v>
      </c>
      <c r="M31" s="528">
        <f t="shared" si="11"/>
        <v>5121</v>
      </c>
      <c r="N31" s="528">
        <f t="shared" si="11"/>
        <v>5121</v>
      </c>
      <c r="O31" s="528">
        <f t="shared" si="11"/>
        <v>5121</v>
      </c>
      <c r="P31" s="528">
        <f t="shared" si="11"/>
        <v>5121</v>
      </c>
      <c r="Q31" s="119">
        <f t="shared" si="11"/>
        <v>9805</v>
      </c>
      <c r="R31" s="518">
        <f t="shared" si="11"/>
        <v>9805</v>
      </c>
      <c r="S31" s="528">
        <f t="shared" si="11"/>
        <v>9805</v>
      </c>
      <c r="T31" s="528">
        <f t="shared" si="11"/>
        <v>9805</v>
      </c>
      <c r="U31" s="528">
        <f t="shared" si="11"/>
        <v>9805</v>
      </c>
      <c r="V31" s="528">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406</v>
      </c>
      <c r="B33" s="139"/>
      <c r="C33" s="180">
        <v>0.11</v>
      </c>
      <c r="D33" s="180">
        <v>0.11</v>
      </c>
      <c r="E33" s="180">
        <v>0.11</v>
      </c>
      <c r="F33" s="180">
        <v>0.11</v>
      </c>
      <c r="G33" s="357">
        <v>0.11</v>
      </c>
      <c r="H33" s="180"/>
      <c r="I33" s="357">
        <v>0.11</v>
      </c>
      <c r="K33" s="357">
        <v>0.11</v>
      </c>
      <c r="L33" s="534">
        <v>0.11</v>
      </c>
      <c r="M33" s="529">
        <v>0.11</v>
      </c>
      <c r="N33" s="529">
        <v>0.11</v>
      </c>
      <c r="O33" s="529">
        <v>0.11</v>
      </c>
      <c r="P33" s="529">
        <v>0.11</v>
      </c>
      <c r="Q33" s="551">
        <v>0.11</v>
      </c>
      <c r="R33" s="707">
        <f>+$Q33</f>
        <v>0.11</v>
      </c>
      <c r="S33" s="707">
        <f>+$Q33</f>
        <v>0.11</v>
      </c>
      <c r="T33" s="707">
        <f>+$Q33</f>
        <v>0.11</v>
      </c>
      <c r="U33" s="707">
        <f>+$Q33</f>
        <v>0.11</v>
      </c>
      <c r="V33" s="707">
        <f>+$Q33</f>
        <v>0.11</v>
      </c>
    </row>
    <row r="34" spans="1:22" x14ac:dyDescent="0.35">
      <c r="A34" s="153" t="s">
        <v>152</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7">
        <f t="shared" si="12"/>
        <v>81403</v>
      </c>
      <c r="M34" s="530">
        <f t="shared" si="12"/>
        <v>82286</v>
      </c>
      <c r="N34" s="530">
        <f t="shared" si="12"/>
        <v>81515</v>
      </c>
      <c r="O34" s="530">
        <f t="shared" si="12"/>
        <v>80745</v>
      </c>
      <c r="P34" s="530">
        <f t="shared" si="12"/>
        <v>83942</v>
      </c>
      <c r="Q34" s="112">
        <f t="shared" si="12"/>
        <v>84504</v>
      </c>
      <c r="R34" s="507">
        <f t="shared" si="12"/>
        <v>86713</v>
      </c>
      <c r="S34" s="530">
        <f t="shared" si="12"/>
        <v>81814</v>
      </c>
      <c r="T34" s="530">
        <f t="shared" si="12"/>
        <v>81012</v>
      </c>
      <c r="U34" s="530">
        <f t="shared" si="12"/>
        <v>80210</v>
      </c>
      <c r="V34" s="530">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7">
        <f t="shared" si="13"/>
        <v>8954</v>
      </c>
      <c r="M35" s="530">
        <f t="shared" si="13"/>
        <v>9051</v>
      </c>
      <c r="N35" s="530">
        <f t="shared" si="13"/>
        <v>8967</v>
      </c>
      <c r="O35" s="530">
        <f t="shared" si="13"/>
        <v>8882</v>
      </c>
      <c r="P35" s="530">
        <f t="shared" si="13"/>
        <v>9234</v>
      </c>
      <c r="Q35" s="112">
        <f t="shared" si="13"/>
        <v>9295</v>
      </c>
      <c r="R35" s="507">
        <f t="shared" si="13"/>
        <v>9538</v>
      </c>
      <c r="S35" s="530">
        <f t="shared" si="13"/>
        <v>9000</v>
      </c>
      <c r="T35" s="530">
        <f t="shared" si="13"/>
        <v>8911</v>
      </c>
      <c r="U35" s="530">
        <f t="shared" si="13"/>
        <v>8823</v>
      </c>
      <c r="V35" s="530">
        <f t="shared" si="13"/>
        <v>9295</v>
      </c>
    </row>
    <row r="36" spans="1:22" x14ac:dyDescent="0.35">
      <c r="A36" s="153" t="s">
        <v>150</v>
      </c>
      <c r="B36" s="153"/>
      <c r="C36" s="126">
        <f>+C31</f>
        <v>7681</v>
      </c>
      <c r="D36" s="126">
        <f>+D31</f>
        <v>8015</v>
      </c>
      <c r="E36" s="126">
        <f>+E31</f>
        <v>0</v>
      </c>
      <c r="F36" s="126">
        <f>+F31</f>
        <v>8015</v>
      </c>
      <c r="G36" s="143">
        <f>+G31</f>
        <v>7497</v>
      </c>
      <c r="H36" s="190">
        <v>5090</v>
      </c>
      <c r="I36" s="143">
        <f>+I31</f>
        <v>5121</v>
      </c>
      <c r="K36" s="143">
        <f t="shared" ref="K36:V36" si="14">+K31</f>
        <v>7721</v>
      </c>
      <c r="L36" s="507">
        <f t="shared" si="14"/>
        <v>7721</v>
      </c>
      <c r="M36" s="530">
        <f t="shared" si="14"/>
        <v>5121</v>
      </c>
      <c r="N36" s="530">
        <f t="shared" si="14"/>
        <v>5121</v>
      </c>
      <c r="O36" s="530">
        <f t="shared" si="14"/>
        <v>5121</v>
      </c>
      <c r="P36" s="530">
        <f t="shared" si="14"/>
        <v>5121</v>
      </c>
      <c r="Q36" s="112">
        <f t="shared" si="14"/>
        <v>9805</v>
      </c>
      <c r="R36" s="507">
        <f t="shared" si="14"/>
        <v>9805</v>
      </c>
      <c r="S36" s="530">
        <f t="shared" si="14"/>
        <v>9805</v>
      </c>
      <c r="T36" s="530">
        <f t="shared" si="14"/>
        <v>9805</v>
      </c>
      <c r="U36" s="530">
        <f t="shared" si="14"/>
        <v>9805</v>
      </c>
      <c r="V36" s="530">
        <f t="shared" si="14"/>
        <v>9805</v>
      </c>
    </row>
    <row r="37" spans="1:22" x14ac:dyDescent="0.35">
      <c r="A37" s="392" t="s">
        <v>242</v>
      </c>
      <c r="B37" s="392"/>
      <c r="C37" s="393">
        <f t="shared" ref="C37:H37" si="15">+C35+C36</f>
        <v>15484.183387083334</v>
      </c>
      <c r="D37" s="393">
        <f t="shared" si="15"/>
        <v>16767.279612083337</v>
      </c>
      <c r="E37" s="393">
        <f t="shared" si="15"/>
        <v>9091.5484550000001</v>
      </c>
      <c r="F37" s="393">
        <f t="shared" si="15"/>
        <v>16157.452230000001</v>
      </c>
      <c r="G37" s="394">
        <f t="shared" si="15"/>
        <v>16110</v>
      </c>
      <c r="H37" s="565">
        <f t="shared" si="15"/>
        <v>13703</v>
      </c>
      <c r="I37" s="394">
        <f t="shared" ref="I37:Q37" si="16">+I35+I36</f>
        <v>14003</v>
      </c>
      <c r="K37" s="394">
        <f>+K35+K36</f>
        <v>16544</v>
      </c>
      <c r="L37" s="535">
        <f t="shared" si="16"/>
        <v>16675</v>
      </c>
      <c r="M37" s="531">
        <f t="shared" si="16"/>
        <v>14172</v>
      </c>
      <c r="N37" s="531">
        <f t="shared" si="16"/>
        <v>14088</v>
      </c>
      <c r="O37" s="531">
        <f>+O35+O36</f>
        <v>14003</v>
      </c>
      <c r="P37" s="531">
        <f t="shared" si="16"/>
        <v>14355</v>
      </c>
      <c r="Q37" s="552">
        <f t="shared" si="16"/>
        <v>19100</v>
      </c>
      <c r="R37" s="535">
        <f>+R35+R36</f>
        <v>19343</v>
      </c>
      <c r="S37" s="531">
        <f>+S35+S36</f>
        <v>18805</v>
      </c>
      <c r="T37" s="531">
        <f>+T35+T36</f>
        <v>18716</v>
      </c>
      <c r="U37" s="531">
        <f>+U35+U36</f>
        <v>18628</v>
      </c>
      <c r="V37" s="531">
        <f>+V35+V36</f>
        <v>19100</v>
      </c>
    </row>
    <row r="38" spans="1:22" x14ac:dyDescent="0.35">
      <c r="A38" s="153" t="s">
        <v>154</v>
      </c>
      <c r="B38" s="153"/>
      <c r="C38" s="388">
        <f>+C37/C34</f>
        <v>0.21827760390696258</v>
      </c>
      <c r="D38" s="388">
        <f>+D37/D34</f>
        <v>0.23636516865440033</v>
      </c>
      <c r="E38" s="388">
        <f>+E37/E34</f>
        <v>0.11</v>
      </c>
      <c r="F38" s="388">
        <f>+F37/F34</f>
        <v>0.2182781912740801</v>
      </c>
      <c r="G38" s="389">
        <f>+G37/G34</f>
        <v>0.20574349899233257</v>
      </c>
      <c r="H38" s="388"/>
      <c r="I38" s="389">
        <f>+I37/I34</f>
        <v>0.17342250294135861</v>
      </c>
      <c r="K38" s="389">
        <f t="shared" ref="K38:V38" si="17">+K37/K34</f>
        <v>0.20625857125046751</v>
      </c>
      <c r="L38" s="536">
        <f t="shared" si="17"/>
        <v>0.20484503028143927</v>
      </c>
      <c r="M38" s="532">
        <f t="shared" si="17"/>
        <v>0.1722285686508033</v>
      </c>
      <c r="N38" s="532">
        <f t="shared" si="17"/>
        <v>0.17282708703919525</v>
      </c>
      <c r="O38" s="532">
        <f t="shared" si="17"/>
        <v>0.17342250294135861</v>
      </c>
      <c r="P38" s="532">
        <f t="shared" si="17"/>
        <v>0.17101093612256082</v>
      </c>
      <c r="Q38" s="553">
        <f t="shared" si="17"/>
        <v>0.22602480355959481</v>
      </c>
      <c r="R38" s="536">
        <f t="shared" si="17"/>
        <v>0.22306920530946917</v>
      </c>
      <c r="S38" s="532">
        <f t="shared" si="17"/>
        <v>0.22985063681032586</v>
      </c>
      <c r="T38" s="532">
        <f t="shared" si="17"/>
        <v>0.23102750209845455</v>
      </c>
      <c r="U38" s="532">
        <f t="shared" si="17"/>
        <v>0.23224036903129286</v>
      </c>
      <c r="V38" s="532">
        <f t="shared" si="17"/>
        <v>0.22602480355959481</v>
      </c>
    </row>
    <row r="39" spans="1:22" x14ac:dyDescent="0.35">
      <c r="A39" s="153" t="s">
        <v>241</v>
      </c>
      <c r="B39" s="153"/>
      <c r="C39" s="388">
        <f>+C38/C35</f>
        <v>2.7972891713435705E-5</v>
      </c>
      <c r="D39" s="388">
        <f>+D38/D35</f>
        <v>2.7006126304291768E-5</v>
      </c>
      <c r="E39" s="388">
        <f>+E38/E35</f>
        <v>1.2099149066241214E-5</v>
      </c>
      <c r="F39" s="388">
        <f>+F38/F35</f>
        <v>2.6807426695100191E-5</v>
      </c>
      <c r="G39" s="389"/>
      <c r="H39" s="388"/>
      <c r="I39" s="549">
        <v>0.17499999999999999</v>
      </c>
      <c r="K39" s="549">
        <v>0.20499999999999999</v>
      </c>
      <c r="L39" s="514">
        <v>0.17499999999999999</v>
      </c>
      <c r="M39" s="533">
        <v>0.17499999999999999</v>
      </c>
      <c r="N39" s="533">
        <v>0.17499999999999999</v>
      </c>
      <c r="O39" s="533">
        <v>0.17499999999999999</v>
      </c>
      <c r="P39" s="533">
        <v>0.17499999999999999</v>
      </c>
      <c r="Q39" s="554">
        <v>0.22500000000000001</v>
      </c>
      <c r="R39" s="514">
        <v>0.22500000000000001</v>
      </c>
      <c r="S39" s="533">
        <v>0.23</v>
      </c>
      <c r="T39" s="533">
        <v>0.23</v>
      </c>
      <c r="U39" s="533">
        <v>0.20499999999999999</v>
      </c>
      <c r="V39" s="533">
        <v>0.22500000000000001</v>
      </c>
    </row>
    <row r="40" spans="1:22" x14ac:dyDescent="0.35">
      <c r="A40" s="168" t="s">
        <v>151</v>
      </c>
      <c r="B40" s="390"/>
      <c r="C40" s="391"/>
      <c r="D40" s="391"/>
      <c r="E40" s="391"/>
      <c r="F40" s="391"/>
      <c r="G40" s="172">
        <f>+G37</f>
        <v>16110</v>
      </c>
      <c r="H40" s="391"/>
      <c r="I40" s="172">
        <f>ROUND(+I19*I39,0)</f>
        <v>14130</v>
      </c>
      <c r="K40" s="172">
        <f t="shared" ref="K40:V40" si="18">ROUND(+K19*K39,0)</f>
        <v>16443</v>
      </c>
      <c r="L40" s="518">
        <f t="shared" si="18"/>
        <v>14246</v>
      </c>
      <c r="M40" s="528">
        <f t="shared" si="18"/>
        <v>14400</v>
      </c>
      <c r="N40" s="528">
        <f t="shared" si="18"/>
        <v>14265</v>
      </c>
      <c r="O40" s="528">
        <f t="shared" si="18"/>
        <v>14130</v>
      </c>
      <c r="P40" s="528">
        <f t="shared" si="18"/>
        <v>14690</v>
      </c>
      <c r="Q40" s="119">
        <f t="shared" si="18"/>
        <v>19013</v>
      </c>
      <c r="R40" s="518">
        <f t="shared" si="18"/>
        <v>19510</v>
      </c>
      <c r="S40" s="528">
        <f t="shared" si="18"/>
        <v>18817</v>
      </c>
      <c r="T40" s="528">
        <f t="shared" si="18"/>
        <v>18633</v>
      </c>
      <c r="U40" s="528">
        <f t="shared" si="18"/>
        <v>16443</v>
      </c>
      <c r="V40" s="528">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153</v>
      </c>
      <c r="B42" s="139"/>
      <c r="C42" s="175"/>
      <c r="D42" s="175"/>
      <c r="E42" s="175"/>
      <c r="F42" s="176"/>
      <c r="G42" s="140"/>
      <c r="H42" s="176"/>
      <c r="I42" s="140"/>
      <c r="K42" s="140"/>
      <c r="L42" s="506"/>
      <c r="M42" s="519"/>
      <c r="N42" s="519"/>
      <c r="O42" s="519"/>
      <c r="P42" s="519"/>
      <c r="Q42" s="111"/>
      <c r="R42" s="506"/>
      <c r="S42" s="519"/>
      <c r="T42" s="519"/>
      <c r="U42" s="519"/>
      <c r="V42" s="519"/>
    </row>
    <row r="43" spans="1:22" x14ac:dyDescent="0.35">
      <c r="A43" s="153" t="s">
        <v>407</v>
      </c>
      <c r="B43" s="153"/>
      <c r="C43" s="185">
        <v>0.03</v>
      </c>
      <c r="D43" s="185">
        <v>0.03</v>
      </c>
      <c r="E43" s="185">
        <v>0.03</v>
      </c>
      <c r="F43" s="186">
        <v>0.03</v>
      </c>
      <c r="G43" s="358">
        <v>2.5000000000000001E-2</v>
      </c>
      <c r="H43" s="186">
        <v>2.5000000000000001E-2</v>
      </c>
      <c r="I43" s="358">
        <v>1.4999999999999999E-2</v>
      </c>
      <c r="K43" s="358">
        <v>1.4999999999999999E-2</v>
      </c>
      <c r="L43" s="540">
        <v>1.4999999999999999E-2</v>
      </c>
      <c r="M43" s="537">
        <v>1.4999999999999999E-2</v>
      </c>
      <c r="N43" s="537">
        <v>1.4999999999999999E-2</v>
      </c>
      <c r="O43" s="537">
        <v>1.4999999999999999E-2</v>
      </c>
      <c r="P43" s="537">
        <v>1.4999999999999999E-2</v>
      </c>
      <c r="Q43" s="362">
        <v>1.4999999999999999E-2</v>
      </c>
      <c r="R43" s="541">
        <f>+$Q43</f>
        <v>1.4999999999999999E-2</v>
      </c>
      <c r="S43" s="541">
        <f t="shared" ref="S43:V44" si="19">+$Q43</f>
        <v>1.4999999999999999E-2</v>
      </c>
      <c r="T43" s="541">
        <f t="shared" si="19"/>
        <v>1.4999999999999999E-2</v>
      </c>
      <c r="U43" s="541">
        <f t="shared" si="19"/>
        <v>1.4999999999999999E-2</v>
      </c>
      <c r="V43" s="541">
        <f t="shared" si="19"/>
        <v>1.4999999999999999E-2</v>
      </c>
    </row>
    <row r="44" spans="1:22" x14ac:dyDescent="0.35">
      <c r="A44" s="153" t="s">
        <v>408</v>
      </c>
      <c r="B44" s="153"/>
      <c r="C44" s="185">
        <v>3.0000000000000001E-3</v>
      </c>
      <c r="D44" s="185">
        <v>3.0000000000000001E-3</v>
      </c>
      <c r="E44" s="185">
        <v>3.0000000000000001E-3</v>
      </c>
      <c r="F44" s="186">
        <v>3.0000000000000001E-3</v>
      </c>
      <c r="G44" s="358">
        <v>2E-3</v>
      </c>
      <c r="H44" s="186">
        <v>2E-3</v>
      </c>
      <c r="I44" s="358">
        <v>7.0000000000000001E-3</v>
      </c>
      <c r="K44" s="358">
        <v>7.0000000000000001E-3</v>
      </c>
      <c r="L44" s="540">
        <v>7.0000000000000001E-3</v>
      </c>
      <c r="M44" s="537">
        <v>7.0000000000000001E-3</v>
      </c>
      <c r="N44" s="537">
        <v>7.0000000000000001E-3</v>
      </c>
      <c r="O44" s="537">
        <v>7.0000000000000001E-3</v>
      </c>
      <c r="P44" s="537">
        <v>7.0000000000000001E-3</v>
      </c>
      <c r="Q44" s="362">
        <v>7.0000000000000001E-3</v>
      </c>
      <c r="R44" s="541">
        <f>+$Q44</f>
        <v>7.0000000000000001E-3</v>
      </c>
      <c r="S44" s="541">
        <f t="shared" si="19"/>
        <v>7.0000000000000001E-3</v>
      </c>
      <c r="T44" s="541">
        <f t="shared" si="19"/>
        <v>7.0000000000000001E-3</v>
      </c>
      <c r="U44" s="541">
        <f t="shared" si="19"/>
        <v>7.0000000000000001E-3</v>
      </c>
      <c r="V44" s="541">
        <f t="shared" si="19"/>
        <v>7.0000000000000001E-3</v>
      </c>
    </row>
    <row r="45" spans="1:22" hidden="1" x14ac:dyDescent="0.35">
      <c r="A45" s="153" t="s">
        <v>129</v>
      </c>
      <c r="B45" s="153"/>
      <c r="C45" s="185">
        <v>7.0000000000000001E-3</v>
      </c>
      <c r="D45" s="185">
        <v>7.0000000000000001E-3</v>
      </c>
      <c r="E45" s="185">
        <v>7.0000000000000001E-3</v>
      </c>
      <c r="F45" s="186">
        <v>7.0000000000000001E-3</v>
      </c>
      <c r="G45" s="358">
        <v>7.0000000000000001E-3</v>
      </c>
      <c r="H45" s="186">
        <v>7.0000000000000001E-3</v>
      </c>
      <c r="I45" s="358">
        <v>7.0000000000000001E-3</v>
      </c>
      <c r="J45" s="109" t="s">
        <v>287</v>
      </c>
      <c r="K45" s="358">
        <v>0</v>
      </c>
      <c r="L45" s="540">
        <v>0</v>
      </c>
      <c r="M45" s="537">
        <v>0</v>
      </c>
      <c r="N45" s="537">
        <v>0</v>
      </c>
      <c r="O45" s="537">
        <v>0</v>
      </c>
      <c r="P45" s="537">
        <v>0</v>
      </c>
      <c r="Q45" s="362">
        <v>0</v>
      </c>
      <c r="R45" s="540">
        <v>0</v>
      </c>
      <c r="S45" s="537">
        <v>0</v>
      </c>
      <c r="T45" s="537">
        <v>0</v>
      </c>
      <c r="U45" s="537">
        <v>0</v>
      </c>
      <c r="V45" s="537">
        <v>0</v>
      </c>
    </row>
    <row r="46" spans="1:22" x14ac:dyDescent="0.35">
      <c r="A46" s="153" t="s">
        <v>409</v>
      </c>
      <c r="B46" s="153"/>
      <c r="C46" s="187">
        <f t="shared" ref="C46:H46" si="20">+C43+C44+C45</f>
        <v>0.04</v>
      </c>
      <c r="D46" s="187">
        <f t="shared" si="20"/>
        <v>0.04</v>
      </c>
      <c r="E46" s="187">
        <f t="shared" si="20"/>
        <v>0.04</v>
      </c>
      <c r="F46" s="188">
        <f t="shared" si="20"/>
        <v>0.04</v>
      </c>
      <c r="G46" s="359">
        <f t="shared" si="20"/>
        <v>3.4000000000000002E-2</v>
      </c>
      <c r="H46" s="188">
        <f t="shared" si="20"/>
        <v>3.4000000000000002E-2</v>
      </c>
      <c r="I46" s="359">
        <f t="shared" ref="I46:Q46" si="21">+I43+I44+I45</f>
        <v>2.8999999999999998E-2</v>
      </c>
      <c r="K46" s="359">
        <f>+K43+K44+K45</f>
        <v>2.1999999999999999E-2</v>
      </c>
      <c r="L46" s="541">
        <f t="shared" si="21"/>
        <v>2.1999999999999999E-2</v>
      </c>
      <c r="M46" s="538">
        <f t="shared" si="21"/>
        <v>2.1999999999999999E-2</v>
      </c>
      <c r="N46" s="538">
        <f t="shared" si="21"/>
        <v>2.1999999999999999E-2</v>
      </c>
      <c r="O46" s="538">
        <f>+O43+O44+O45</f>
        <v>2.1999999999999999E-2</v>
      </c>
      <c r="P46" s="538">
        <f t="shared" si="21"/>
        <v>2.1999999999999999E-2</v>
      </c>
      <c r="Q46" s="363">
        <f t="shared" si="21"/>
        <v>2.1999999999999999E-2</v>
      </c>
      <c r="R46" s="541">
        <f>+R43+R44+R45</f>
        <v>2.1999999999999999E-2</v>
      </c>
      <c r="S46" s="538">
        <f>+S43+S44+S45</f>
        <v>2.1999999999999999E-2</v>
      </c>
      <c r="T46" s="538">
        <f>+T43+T44+T45</f>
        <v>2.1999999999999999E-2</v>
      </c>
      <c r="U46" s="538">
        <f>+U43+U44+U45</f>
        <v>2.1999999999999999E-2</v>
      </c>
      <c r="V46" s="538">
        <f>+V43+V44+V45</f>
        <v>2.1999999999999999E-2</v>
      </c>
    </row>
    <row r="47" spans="1:22" x14ac:dyDescent="0.35">
      <c r="A47" s="153" t="s">
        <v>152</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7">
        <f t="shared" si="23"/>
        <v>81403</v>
      </c>
      <c r="M47" s="530">
        <f t="shared" si="23"/>
        <v>82286</v>
      </c>
      <c r="N47" s="530">
        <f t="shared" si="23"/>
        <v>81515</v>
      </c>
      <c r="O47" s="530">
        <f>+O19</f>
        <v>80745</v>
      </c>
      <c r="P47" s="530">
        <f t="shared" si="23"/>
        <v>83942</v>
      </c>
      <c r="Q47" s="112">
        <f t="shared" si="23"/>
        <v>84504</v>
      </c>
      <c r="R47" s="507">
        <f>+R19</f>
        <v>86713</v>
      </c>
      <c r="S47" s="530">
        <f>+S19</f>
        <v>81814</v>
      </c>
      <c r="T47" s="530">
        <f>+T19</f>
        <v>81012</v>
      </c>
      <c r="U47" s="530">
        <f>+U19</f>
        <v>80210</v>
      </c>
      <c r="V47" s="530">
        <f>+V19</f>
        <v>84504</v>
      </c>
    </row>
    <row r="48" spans="1:22" ht="29" hidden="1" x14ac:dyDescent="0.35">
      <c r="A48" s="189" t="s">
        <v>158</v>
      </c>
      <c r="B48" s="153"/>
      <c r="C48" s="126">
        <f>+C26</f>
        <v>7681</v>
      </c>
      <c r="D48" s="126">
        <f>+D26</f>
        <v>8015</v>
      </c>
      <c r="E48" s="190">
        <v>0</v>
      </c>
      <c r="F48" s="181">
        <f>+F26</f>
        <v>8015</v>
      </c>
      <c r="G48" s="352">
        <v>0</v>
      </c>
      <c r="H48" s="183">
        <v>0</v>
      </c>
      <c r="I48" s="352">
        <v>0</v>
      </c>
      <c r="K48" s="352">
        <v>0</v>
      </c>
      <c r="L48" s="542">
        <v>0</v>
      </c>
      <c r="M48" s="539">
        <v>0</v>
      </c>
      <c r="N48" s="539">
        <v>0</v>
      </c>
      <c r="O48" s="539">
        <v>0</v>
      </c>
      <c r="P48" s="539">
        <v>0</v>
      </c>
      <c r="Q48" s="192">
        <v>0</v>
      </c>
      <c r="R48" s="542">
        <v>0</v>
      </c>
      <c r="S48" s="539">
        <v>0</v>
      </c>
      <c r="T48" s="539">
        <v>0</v>
      </c>
      <c r="U48" s="539">
        <v>0</v>
      </c>
      <c r="V48" s="539">
        <v>0</v>
      </c>
    </row>
    <row r="49" spans="1:25" hidden="1" x14ac:dyDescent="0.35">
      <c r="A49" s="189" t="s">
        <v>157</v>
      </c>
      <c r="B49" s="153"/>
      <c r="C49" s="126">
        <f>+C31*C17</f>
        <v>587.59649999999999</v>
      </c>
      <c r="D49" s="126">
        <f>+D31*D17</f>
        <v>613.14750000000004</v>
      </c>
      <c r="E49" s="126">
        <f>+E31*E17</f>
        <v>0</v>
      </c>
      <c r="F49" s="181">
        <f>+F31*F17</f>
        <v>613.14750000000004</v>
      </c>
      <c r="G49" s="143"/>
      <c r="H49" s="181"/>
      <c r="I49" s="143"/>
      <c r="K49" s="143"/>
      <c r="L49" s="507"/>
      <c r="M49" s="530"/>
      <c r="N49" s="530"/>
      <c r="O49" s="530"/>
      <c r="P49" s="530"/>
      <c r="Q49" s="112"/>
      <c r="R49" s="507"/>
      <c r="S49" s="530"/>
      <c r="T49" s="530"/>
      <c r="U49" s="530"/>
      <c r="V49" s="530"/>
    </row>
    <row r="50" spans="1:25" hidden="1" x14ac:dyDescent="0.35">
      <c r="A50" s="123" t="s">
        <v>156</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7">
        <f t="shared" si="25"/>
        <v>81403</v>
      </c>
      <c r="M50" s="530">
        <f t="shared" si="25"/>
        <v>82286</v>
      </c>
      <c r="N50" s="530">
        <f t="shared" si="25"/>
        <v>81515</v>
      </c>
      <c r="O50" s="530">
        <f>SUM(O47:O49)</f>
        <v>80745</v>
      </c>
      <c r="P50" s="530">
        <f t="shared" si="25"/>
        <v>83942</v>
      </c>
      <c r="Q50" s="112">
        <f t="shared" si="25"/>
        <v>84504</v>
      </c>
      <c r="R50" s="507">
        <f>SUM(R47:R49)</f>
        <v>86713</v>
      </c>
      <c r="S50" s="530">
        <f>SUM(S47:S49)</f>
        <v>81814</v>
      </c>
      <c r="T50" s="530">
        <f>SUM(T47:T49)</f>
        <v>81012</v>
      </c>
      <c r="U50" s="530">
        <f>SUM(U47:U49)</f>
        <v>80210</v>
      </c>
      <c r="V50" s="530">
        <f>SUM(V47:V49)</f>
        <v>84504</v>
      </c>
    </row>
    <row r="51" spans="1:25" x14ac:dyDescent="0.35">
      <c r="A51" s="129" t="s">
        <v>155</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8">
        <f t="shared" si="26"/>
        <v>1791</v>
      </c>
      <c r="M51" s="528">
        <f t="shared" si="26"/>
        <v>1810</v>
      </c>
      <c r="N51" s="528">
        <f t="shared" si="26"/>
        <v>1793</v>
      </c>
      <c r="O51" s="528">
        <f t="shared" si="26"/>
        <v>1776</v>
      </c>
      <c r="P51" s="528">
        <f t="shared" si="26"/>
        <v>1847</v>
      </c>
      <c r="Q51" s="119">
        <f t="shared" si="26"/>
        <v>1859</v>
      </c>
      <c r="R51" s="518">
        <f t="shared" si="26"/>
        <v>1908</v>
      </c>
      <c r="S51" s="528">
        <f t="shared" si="26"/>
        <v>1800</v>
      </c>
      <c r="T51" s="528">
        <f t="shared" si="26"/>
        <v>1782</v>
      </c>
      <c r="U51" s="528">
        <f t="shared" si="26"/>
        <v>1765</v>
      </c>
      <c r="V51" s="528">
        <f t="shared" si="26"/>
        <v>1859</v>
      </c>
    </row>
    <row r="52" spans="1:25" x14ac:dyDescent="0.35">
      <c r="D52" s="116"/>
      <c r="E52" s="116"/>
      <c r="G52" s="173"/>
      <c r="I52" s="173"/>
      <c r="K52" s="173"/>
    </row>
    <row r="53" spans="1:25" x14ac:dyDescent="0.35">
      <c r="A53" s="120" t="s">
        <v>99</v>
      </c>
      <c r="B53" s="121"/>
      <c r="C53" s="132"/>
      <c r="D53" s="132"/>
      <c r="E53" s="132"/>
      <c r="F53" s="133"/>
      <c r="G53" s="351"/>
      <c r="H53" s="132"/>
      <c r="I53" s="351"/>
      <c r="K53" s="351"/>
      <c r="L53" s="543"/>
      <c r="M53" s="543"/>
      <c r="N53" s="543"/>
      <c r="O53" s="543"/>
      <c r="P53" s="543"/>
      <c r="Q53" s="191"/>
      <c r="R53" s="543"/>
      <c r="S53" s="543"/>
      <c r="T53" s="543"/>
      <c r="U53" s="543"/>
      <c r="V53" s="543"/>
    </row>
    <row r="54" spans="1:25" x14ac:dyDescent="0.35">
      <c r="A54" s="123" t="s">
        <v>160</v>
      </c>
      <c r="B54" s="123"/>
      <c r="C54" s="127">
        <v>1500</v>
      </c>
      <c r="D54" s="127">
        <v>1500</v>
      </c>
      <c r="E54" s="127">
        <v>1500</v>
      </c>
      <c r="F54" s="128">
        <v>1500</v>
      </c>
      <c r="G54" s="352">
        <v>1500</v>
      </c>
      <c r="H54" s="127">
        <v>1500</v>
      </c>
      <c r="I54" s="352">
        <v>1500</v>
      </c>
      <c r="K54" s="352">
        <v>1500</v>
      </c>
      <c r="L54" s="542">
        <v>1500</v>
      </c>
      <c r="M54" s="542">
        <v>1500</v>
      </c>
      <c r="N54" s="542">
        <v>1500</v>
      </c>
      <c r="O54" s="542">
        <v>1500</v>
      </c>
      <c r="P54" s="542">
        <v>1500</v>
      </c>
      <c r="Q54" s="192">
        <v>1500</v>
      </c>
      <c r="R54" s="706">
        <f>+$Q54</f>
        <v>1500</v>
      </c>
      <c r="S54" s="706">
        <f t="shared" ref="S54:V55" si="27">+$Q54</f>
        <v>1500</v>
      </c>
      <c r="T54" s="706">
        <f t="shared" si="27"/>
        <v>1500</v>
      </c>
      <c r="U54" s="706">
        <f t="shared" si="27"/>
        <v>1500</v>
      </c>
      <c r="V54" s="706">
        <f t="shared" si="27"/>
        <v>1500</v>
      </c>
    </row>
    <row r="55" spans="1:25" x14ac:dyDescent="0.35">
      <c r="A55" s="123" t="s">
        <v>410</v>
      </c>
      <c r="B55" s="123"/>
      <c r="C55" s="127">
        <v>1000</v>
      </c>
      <c r="D55" s="127">
        <v>1000</v>
      </c>
      <c r="E55" s="127">
        <v>1000</v>
      </c>
      <c r="F55" s="128">
        <v>1000</v>
      </c>
      <c r="G55" s="352">
        <v>1000</v>
      </c>
      <c r="H55" s="127">
        <v>700</v>
      </c>
      <c r="I55" s="352">
        <v>1000</v>
      </c>
      <c r="K55" s="352">
        <v>1000</v>
      </c>
      <c r="L55" s="542">
        <v>1000</v>
      </c>
      <c r="M55" s="542">
        <v>1000</v>
      </c>
      <c r="N55" s="542">
        <v>1000</v>
      </c>
      <c r="O55" s="542">
        <v>1000</v>
      </c>
      <c r="P55" s="542">
        <v>1000</v>
      </c>
      <c r="Q55" s="192">
        <v>1300</v>
      </c>
      <c r="R55" s="706">
        <f>+$Q55</f>
        <v>1300</v>
      </c>
      <c r="S55" s="706">
        <f t="shared" si="27"/>
        <v>1300</v>
      </c>
      <c r="T55" s="706">
        <f t="shared" si="27"/>
        <v>1300</v>
      </c>
      <c r="U55" s="706">
        <f t="shared" si="27"/>
        <v>1300</v>
      </c>
      <c r="V55" s="706">
        <f t="shared" si="27"/>
        <v>1300</v>
      </c>
    </row>
    <row r="56" spans="1:25" x14ac:dyDescent="0.35">
      <c r="A56" s="123" t="s">
        <v>422</v>
      </c>
      <c r="B56" s="123"/>
      <c r="C56" s="127"/>
      <c r="D56" s="127"/>
      <c r="E56" s="127"/>
      <c r="F56" s="128"/>
      <c r="G56" s="352"/>
      <c r="H56" s="127"/>
      <c r="I56" s="352"/>
      <c r="K56" s="352"/>
      <c r="L56" s="542"/>
      <c r="M56" s="542"/>
      <c r="N56" s="542"/>
      <c r="O56" s="542"/>
      <c r="P56" s="542"/>
      <c r="Q56" s="192"/>
      <c r="R56" s="706"/>
      <c r="S56" s="706"/>
      <c r="T56" s="706"/>
      <c r="U56" s="706"/>
      <c r="V56" s="706"/>
    </row>
    <row r="57" spans="1:25" x14ac:dyDescent="0.35">
      <c r="A57" s="123" t="s">
        <v>99</v>
      </c>
      <c r="B57" s="123"/>
      <c r="C57" s="127">
        <v>600</v>
      </c>
      <c r="D57" s="127">
        <v>600</v>
      </c>
      <c r="E57" s="127">
        <v>600</v>
      </c>
      <c r="F57" s="128">
        <v>600</v>
      </c>
      <c r="G57" s="352">
        <v>600</v>
      </c>
      <c r="H57" s="127">
        <v>600</v>
      </c>
      <c r="I57" s="352">
        <v>600</v>
      </c>
      <c r="K57" s="352">
        <v>600</v>
      </c>
      <c r="L57" s="542">
        <v>600</v>
      </c>
      <c r="M57" s="542">
        <v>600</v>
      </c>
      <c r="N57" s="542">
        <v>600</v>
      </c>
      <c r="O57" s="542">
        <v>600</v>
      </c>
      <c r="P57" s="542">
        <v>600</v>
      </c>
      <c r="Q57" s="192">
        <v>600</v>
      </c>
      <c r="R57" s="706">
        <f>+$Q57</f>
        <v>600</v>
      </c>
      <c r="S57" s="706">
        <f t="shared" ref="S57:V58" si="28">+$Q57</f>
        <v>600</v>
      </c>
      <c r="T57" s="706">
        <f t="shared" si="28"/>
        <v>600</v>
      </c>
      <c r="U57" s="706">
        <f t="shared" si="28"/>
        <v>600</v>
      </c>
      <c r="V57" s="706">
        <f t="shared" si="28"/>
        <v>600</v>
      </c>
    </row>
    <row r="58" spans="1:25" x14ac:dyDescent="0.35">
      <c r="A58" s="153" t="s">
        <v>170</v>
      </c>
      <c r="B58" s="153"/>
      <c r="C58" s="154"/>
      <c r="D58" s="154"/>
      <c r="E58" s="154"/>
      <c r="F58" s="155"/>
      <c r="G58" s="352">
        <f>40*12</f>
        <v>480</v>
      </c>
      <c r="H58" s="564">
        <f>25*12</f>
        <v>300</v>
      </c>
      <c r="I58" s="352">
        <f>ROUND(40*12,0)</f>
        <v>480</v>
      </c>
      <c r="K58" s="352">
        <f t="shared" ref="K58:Q58" si="29">ROUND(40*12,0)</f>
        <v>480</v>
      </c>
      <c r="L58" s="542">
        <f t="shared" si="29"/>
        <v>480</v>
      </c>
      <c r="M58" s="542">
        <f t="shared" si="29"/>
        <v>480</v>
      </c>
      <c r="N58" s="542">
        <f t="shared" si="29"/>
        <v>480</v>
      </c>
      <c r="O58" s="542">
        <f t="shared" si="29"/>
        <v>480</v>
      </c>
      <c r="P58" s="542">
        <f t="shared" si="29"/>
        <v>480</v>
      </c>
      <c r="Q58" s="192">
        <f t="shared" si="29"/>
        <v>480</v>
      </c>
      <c r="R58" s="706">
        <f>+$Q58</f>
        <v>480</v>
      </c>
      <c r="S58" s="706">
        <f t="shared" si="28"/>
        <v>480</v>
      </c>
      <c r="T58" s="706">
        <f t="shared" si="28"/>
        <v>480</v>
      </c>
      <c r="U58" s="706">
        <f t="shared" si="28"/>
        <v>480</v>
      </c>
      <c r="V58" s="706">
        <f t="shared" si="28"/>
        <v>480</v>
      </c>
    </row>
    <row r="59" spans="1:25" x14ac:dyDescent="0.35">
      <c r="A59" s="134" t="s">
        <v>162</v>
      </c>
      <c r="B59" s="134"/>
      <c r="C59" s="135">
        <f t="shared" ref="C59:H59" si="30">+SUM(C54:C58)</f>
        <v>3100</v>
      </c>
      <c r="D59" s="135">
        <f t="shared" si="30"/>
        <v>3100</v>
      </c>
      <c r="E59" s="135">
        <f t="shared" si="30"/>
        <v>3100</v>
      </c>
      <c r="F59" s="136">
        <f t="shared" si="30"/>
        <v>3100</v>
      </c>
      <c r="G59" s="353">
        <f t="shared" si="30"/>
        <v>3580</v>
      </c>
      <c r="H59" s="135">
        <f t="shared" si="30"/>
        <v>3100</v>
      </c>
      <c r="I59" s="353">
        <f t="shared" ref="I59:P59" si="31">+SUM(I54:I58)</f>
        <v>3580</v>
      </c>
      <c r="K59" s="353">
        <f>+SUM(K54:K58)</f>
        <v>3580</v>
      </c>
      <c r="L59" s="544">
        <f t="shared" si="31"/>
        <v>3580</v>
      </c>
      <c r="M59" s="544">
        <f t="shared" si="31"/>
        <v>3580</v>
      </c>
      <c r="N59" s="544">
        <f t="shared" si="31"/>
        <v>3580</v>
      </c>
      <c r="O59" s="544">
        <f>+SUM(O54:O58)</f>
        <v>3580</v>
      </c>
      <c r="P59" s="544">
        <f t="shared" si="31"/>
        <v>3580</v>
      </c>
      <c r="Q59" s="193">
        <f t="shared" ref="Q59:V59" si="32">+SUM(Q54:Q58)</f>
        <v>3880</v>
      </c>
      <c r="R59" s="544">
        <f t="shared" si="32"/>
        <v>3880</v>
      </c>
      <c r="S59" s="544">
        <f t="shared" si="32"/>
        <v>3880</v>
      </c>
      <c r="T59" s="544">
        <f t="shared" si="32"/>
        <v>3880</v>
      </c>
      <c r="U59" s="544">
        <f t="shared" si="32"/>
        <v>3880</v>
      </c>
      <c r="V59" s="544">
        <f t="shared" si="32"/>
        <v>3880</v>
      </c>
    </row>
    <row r="60" spans="1:25" ht="7.5" customHeight="1" thickBot="1" x14ac:dyDescent="0.4">
      <c r="G60" s="173"/>
      <c r="I60" s="154"/>
      <c r="K60" s="173"/>
    </row>
    <row r="61" spans="1:25" ht="15.5" thickTop="1" thickBot="1" x14ac:dyDescent="0.4">
      <c r="A61" s="427" t="s">
        <v>161</v>
      </c>
      <c r="B61" s="724"/>
      <c r="C61" s="725">
        <f t="shared" ref="C61:I61" si="33">+C19+C37+C51+C59</f>
        <v>92690.479270416676</v>
      </c>
      <c r="D61" s="725">
        <f t="shared" si="33"/>
        <v>93988.957535416688</v>
      </c>
      <c r="E61" s="725">
        <f t="shared" si="33"/>
        <v>98149.006574999992</v>
      </c>
      <c r="F61" s="726">
        <f t="shared" si="33"/>
        <v>96586.762849999999</v>
      </c>
      <c r="G61" s="727">
        <f t="shared" si="33"/>
        <v>100653.3805</v>
      </c>
      <c r="H61" s="725">
        <f t="shared" si="33"/>
        <v>97766.380499999999</v>
      </c>
      <c r="I61" s="727">
        <f t="shared" si="33"/>
        <v>100670</v>
      </c>
      <c r="J61" s="728"/>
      <c r="K61" s="727">
        <f t="shared" ref="K61:P61" si="34">+K19+K37+K51+K59</f>
        <v>102099</v>
      </c>
      <c r="L61" s="729">
        <f>+L19+L37+L51+L59</f>
        <v>103449</v>
      </c>
      <c r="M61" s="729">
        <f t="shared" si="34"/>
        <v>101848</v>
      </c>
      <c r="N61" s="729">
        <f t="shared" si="34"/>
        <v>100976</v>
      </c>
      <c r="O61" s="729">
        <f t="shared" si="34"/>
        <v>100104</v>
      </c>
      <c r="P61" s="729">
        <f t="shared" si="34"/>
        <v>103724</v>
      </c>
      <c r="Q61" s="730">
        <f t="shared" ref="Q61:V61" si="35">+Q19+Q40+Q51+Q59</f>
        <v>109256</v>
      </c>
      <c r="R61" s="723">
        <f t="shared" si="35"/>
        <v>112011</v>
      </c>
      <c r="S61" s="545">
        <f t="shared" si="35"/>
        <v>106311</v>
      </c>
      <c r="T61" s="545">
        <f t="shared" si="35"/>
        <v>105307</v>
      </c>
      <c r="U61" s="545">
        <f t="shared" si="35"/>
        <v>102298</v>
      </c>
      <c r="V61" s="545">
        <f t="shared" si="35"/>
        <v>109256</v>
      </c>
      <c r="Y61" s="722"/>
    </row>
    <row r="62" spans="1:25" ht="15" thickTop="1" x14ac:dyDescent="0.35">
      <c r="A62" s="196" t="s">
        <v>225</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5">
        <f>+I62/G61</f>
        <v>1.6511616318739237E-4</v>
      </c>
      <c r="J63" s="43"/>
      <c r="K63" s="547">
        <f>+K62/I61</f>
        <v>1.4194894208801033E-2</v>
      </c>
      <c r="L63" s="547">
        <f>+L62/O61</f>
        <v>1.3485974586430112E-2</v>
      </c>
      <c r="M63" s="547">
        <f>+M62/O61</f>
        <v>1.7421881243506753E-2</v>
      </c>
      <c r="N63" s="547">
        <f>+N62/O61</f>
        <v>8.7109406217533766E-3</v>
      </c>
      <c r="O63" s="345"/>
      <c r="P63" s="547">
        <f>+P62/O61</f>
        <v>3.616239111324223E-2</v>
      </c>
      <c r="Q63" s="547">
        <f t="shared" ref="Q63:V63" si="37">+Q62/$K61</f>
        <v>7.0098629761310108E-2</v>
      </c>
      <c r="R63" s="547">
        <f t="shared" si="37"/>
        <v>9.7082243704639609E-2</v>
      </c>
      <c r="S63" s="547">
        <f t="shared" si="37"/>
        <v>4.1254076925337176E-2</v>
      </c>
      <c r="T63" s="547">
        <f t="shared" si="37"/>
        <v>3.142048404000039E-2</v>
      </c>
      <c r="U63" s="547">
        <f t="shared" si="37"/>
        <v>1.949088629663366E-3</v>
      </c>
      <c r="V63" s="547">
        <f t="shared" si="37"/>
        <v>7.0098629761310108E-2</v>
      </c>
    </row>
    <row r="64" spans="1:25" hidden="1" x14ac:dyDescent="0.35">
      <c r="A64" s="257"/>
      <c r="B64" s="257"/>
      <c r="C64" s="257" t="s">
        <v>164</v>
      </c>
      <c r="D64" s="257"/>
      <c r="E64" s="257"/>
      <c r="F64" s="257"/>
      <c r="G64" s="257"/>
      <c r="H64" s="344"/>
    </row>
    <row r="65" spans="1:22" hidden="1" x14ac:dyDescent="0.35">
      <c r="A65" s="762" t="s">
        <v>165</v>
      </c>
      <c r="B65" s="195"/>
      <c r="C65" s="118">
        <f>+C61-C18</f>
        <v>87649.365145416668</v>
      </c>
      <c r="D65" s="118">
        <f>+D61-D18</f>
        <v>88947.843410416681</v>
      </c>
      <c r="E65" s="118">
        <f>+E61-E18</f>
        <v>92275.566074999995</v>
      </c>
      <c r="F65" s="118">
        <f>+F61-F18</f>
        <v>91326.469849999994</v>
      </c>
      <c r="G65" s="257"/>
      <c r="H65" s="344"/>
    </row>
    <row r="66" spans="1:22" x14ac:dyDescent="0.35">
      <c r="A66" s="257"/>
      <c r="G66" s="194"/>
      <c r="I66" s="194"/>
      <c r="K66" s="194"/>
      <c r="L66" s="194"/>
      <c r="M66" s="194"/>
      <c r="N66" s="194"/>
      <c r="O66" s="194"/>
      <c r="P66" s="194"/>
      <c r="Q66" s="194"/>
      <c r="R66" s="194"/>
      <c r="S66" s="194"/>
      <c r="T66" s="194"/>
      <c r="U66" s="194"/>
      <c r="V66" s="194"/>
    </row>
    <row r="67" spans="1:22" ht="18.5" x14ac:dyDescent="0.35">
      <c r="A67" s="763" t="s">
        <v>424</v>
      </c>
    </row>
    <row r="68" spans="1:22" ht="32" customHeight="1" thickBot="1" x14ac:dyDescent="0.4">
      <c r="A68" s="746"/>
      <c r="Q68" s="746"/>
    </row>
    <row r="69" spans="1:22" x14ac:dyDescent="0.35">
      <c r="A69" s="744" t="s">
        <v>426</v>
      </c>
      <c r="Q69" s="747" t="s">
        <v>425</v>
      </c>
    </row>
    <row r="71" spans="1:22" ht="32" customHeight="1" thickBot="1" x14ac:dyDescent="0.4">
      <c r="A71" s="746"/>
      <c r="Q71" s="746"/>
    </row>
    <row r="72" spans="1:22" x14ac:dyDescent="0.35">
      <c r="A72" s="744" t="s">
        <v>427</v>
      </c>
      <c r="Q72" s="747" t="s">
        <v>425</v>
      </c>
    </row>
    <row r="74" spans="1:22" ht="32" customHeight="1" thickBot="1" x14ac:dyDescent="0.4">
      <c r="A74" s="746"/>
      <c r="Q74" s="746"/>
    </row>
    <row r="75" spans="1:22" x14ac:dyDescent="0.35">
      <c r="A75" s="744" t="s">
        <v>428</v>
      </c>
      <c r="Q75" s="747" t="s">
        <v>425</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355" t="s">
        <v>325</v>
      </c>
      <c r="B2" s="1355"/>
      <c r="C2" s="1355"/>
      <c r="D2" s="1355"/>
      <c r="E2" s="1355"/>
      <c r="F2" s="1355"/>
      <c r="G2" s="1355"/>
      <c r="H2" s="618"/>
    </row>
    <row r="3" spans="1:12" ht="15" thickBot="1" x14ac:dyDescent="0.4"/>
    <row r="4" spans="1:12" ht="44.5" thickTop="1" thickBot="1" x14ac:dyDescent="0.4">
      <c r="B4" s="637" t="s">
        <v>655</v>
      </c>
      <c r="C4" s="638" t="s">
        <v>654</v>
      </c>
      <c r="D4" s="638" t="s">
        <v>487</v>
      </c>
      <c r="E4" s="639">
        <v>2022</v>
      </c>
    </row>
    <row r="5" spans="1:12" ht="15" thickTop="1" x14ac:dyDescent="0.35">
      <c r="A5" s="636" t="s">
        <v>327</v>
      </c>
      <c r="B5" s="622">
        <f>ROUND(+'New Year-Full Year'!Q14,0)</f>
        <v>473500</v>
      </c>
      <c r="C5" s="622">
        <f>ROUND(+'New Year-Full Year'!V14,0)</f>
        <v>343913</v>
      </c>
      <c r="D5" s="622">
        <f>ROUND(+'New Year-Full Year'!R14,0)</f>
        <v>416000</v>
      </c>
      <c r="E5" s="623">
        <v>466516</v>
      </c>
      <c r="K5" s="620"/>
    </row>
    <row r="6" spans="1:12" x14ac:dyDescent="0.35">
      <c r="A6" s="624"/>
      <c r="B6" s="619"/>
      <c r="C6" s="619"/>
      <c r="D6" s="619"/>
      <c r="E6" s="974"/>
      <c r="J6" s="620"/>
    </row>
    <row r="7" spans="1:12" x14ac:dyDescent="0.35">
      <c r="A7" s="621" t="s">
        <v>328</v>
      </c>
      <c r="B7" s="619"/>
      <c r="C7" s="619"/>
      <c r="D7" s="619"/>
      <c r="E7" s="974"/>
    </row>
    <row r="8" spans="1:12" x14ac:dyDescent="0.35">
      <c r="A8" s="624" t="s">
        <v>330</v>
      </c>
      <c r="B8" s="626">
        <f>ROUND(+'New Year-Full Year'!Q28,0)</f>
        <v>18250</v>
      </c>
      <c r="C8" s="626">
        <f>ROUND(+'New Year-Full Year'!V28,0)</f>
        <v>12451</v>
      </c>
      <c r="D8" s="626">
        <f>ROUND(+'New Year-Full Year'!R28,0)</f>
        <v>24900</v>
      </c>
      <c r="E8" s="627">
        <v>37750</v>
      </c>
      <c r="J8" s="499"/>
      <c r="K8" s="957"/>
      <c r="L8" s="499"/>
    </row>
    <row r="9" spans="1:12" x14ac:dyDescent="0.35">
      <c r="A9" s="624" t="s">
        <v>331</v>
      </c>
      <c r="B9" s="626">
        <f>ROUND(+'New Year-Full Year'!Q65,0)</f>
        <v>38513</v>
      </c>
      <c r="C9" s="626">
        <f>ROUND(+'New Year-Full Year'!V65,0)</f>
        <v>19382</v>
      </c>
      <c r="D9" s="626">
        <f>ROUND(+'New Year-Full Year'!R65,0)</f>
        <v>40293</v>
      </c>
      <c r="E9" s="627">
        <v>29857</v>
      </c>
    </row>
    <row r="10" spans="1:12" x14ac:dyDescent="0.35">
      <c r="A10" s="624" t="s">
        <v>332</v>
      </c>
      <c r="B10" s="1154">
        <f>ROUND(+'New Year-Full Year'!Q108,0)-1</f>
        <v>346307</v>
      </c>
      <c r="C10" s="626">
        <f>ROUND(+'New Year-Full Year'!V108,0)+1</f>
        <v>148999</v>
      </c>
      <c r="D10" s="626">
        <f>ROUND(+'New Year-Full Year'!R108,0)</f>
        <v>273901</v>
      </c>
      <c r="E10" s="627">
        <f>266744-1</f>
        <v>266743</v>
      </c>
    </row>
    <row r="11" spans="1:12" ht="16" x14ac:dyDescent="0.5">
      <c r="A11" s="624" t="s">
        <v>333</v>
      </c>
      <c r="B11" s="628">
        <f>ROUND(+'New Year-Full Year'!Q125,0)</f>
        <v>74000</v>
      </c>
      <c r="C11" s="628">
        <f>ROUND(+'New Year-Full Year'!V125,0)</f>
        <v>37766</v>
      </c>
      <c r="D11" s="628">
        <f>ROUND(+'New Year-Full Year'!R125,0)</f>
        <v>76907</v>
      </c>
      <c r="E11" s="629">
        <v>60443</v>
      </c>
    </row>
    <row r="12" spans="1:12" x14ac:dyDescent="0.35">
      <c r="A12" s="621" t="s">
        <v>329</v>
      </c>
      <c r="B12" s="622">
        <f>SUM(B8:B11)</f>
        <v>477070</v>
      </c>
      <c r="C12" s="622">
        <f>SUM(C8:C11)</f>
        <v>218598</v>
      </c>
      <c r="D12" s="622">
        <f>SUM(D8:D11)</f>
        <v>416001</v>
      </c>
      <c r="E12" s="630">
        <f>SUM(E8:E11)</f>
        <v>394793</v>
      </c>
    </row>
    <row r="13" spans="1:12" x14ac:dyDescent="0.35">
      <c r="A13" s="624"/>
      <c r="B13" s="619"/>
      <c r="C13" s="619"/>
      <c r="D13" s="619"/>
      <c r="E13" s="625"/>
    </row>
    <row r="14" spans="1:12" x14ac:dyDescent="0.35">
      <c r="A14" s="621" t="s">
        <v>326</v>
      </c>
      <c r="B14" s="622">
        <f>+B5-B12</f>
        <v>-3570</v>
      </c>
      <c r="C14" s="622">
        <f>+C5-C12</f>
        <v>125315</v>
      </c>
      <c r="D14" s="622">
        <f>+D5-D12</f>
        <v>-1</v>
      </c>
      <c r="E14" s="630">
        <f>+E5-E12</f>
        <v>71723</v>
      </c>
      <c r="G14" s="1354"/>
    </row>
    <row r="15" spans="1:12" x14ac:dyDescent="0.35">
      <c r="A15" s="624"/>
      <c r="B15" s="619"/>
      <c r="C15" s="619"/>
      <c r="D15" s="619"/>
      <c r="E15" s="625"/>
      <c r="G15" s="1354"/>
      <c r="H15" s="619"/>
    </row>
    <row r="16" spans="1:12" x14ac:dyDescent="0.35">
      <c r="A16" s="621" t="s">
        <v>334</v>
      </c>
      <c r="B16" s="619"/>
      <c r="C16" s="619"/>
      <c r="D16" s="619"/>
      <c r="E16" s="625"/>
      <c r="G16" s="1354"/>
      <c r="H16" s="619"/>
    </row>
    <row r="17" spans="1:8" x14ac:dyDescent="0.35">
      <c r="A17" s="624" t="s">
        <v>523</v>
      </c>
      <c r="B17" s="626">
        <f>ROUND(+'New Year-Full Year'!Q127,0)</f>
        <v>0</v>
      </c>
      <c r="C17" s="626">
        <f>ROUND(+'New Year-Full Year'!V127,0)</f>
        <v>0</v>
      </c>
      <c r="D17" s="626">
        <f>ROUND(+'New Year-Full Year'!R127,0)</f>
        <v>0</v>
      </c>
      <c r="E17" s="627">
        <v>40150</v>
      </c>
      <c r="G17" s="37"/>
      <c r="H17" s="619"/>
    </row>
    <row r="18" spans="1:8" hidden="1" x14ac:dyDescent="0.35">
      <c r="A18" s="624" t="s">
        <v>335</v>
      </c>
      <c r="B18" s="626">
        <f>ROUND(+'New Year-Full Year'!Q128,0)</f>
        <v>0</v>
      </c>
      <c r="C18" s="626">
        <f>ROUND(+'New Year-Full Year'!V128,0)</f>
        <v>0</v>
      </c>
      <c r="D18" s="626">
        <f>ROUND(+'New Year-Full Year'!R128,0)</f>
        <v>0</v>
      </c>
      <c r="E18" s="627">
        <v>0</v>
      </c>
      <c r="G18" s="976"/>
      <c r="H18" s="619"/>
    </row>
    <row r="19" spans="1:8" ht="16" x14ac:dyDescent="0.5">
      <c r="A19" s="624" t="s">
        <v>336</v>
      </c>
      <c r="B19" s="628">
        <f>ROUND(+'New Year-Full Year'!Q130,0)</f>
        <v>0</v>
      </c>
      <c r="C19" s="628">
        <f>ROUND(+'New Year-Full Year'!V130,0)</f>
        <v>0</v>
      </c>
      <c r="D19" s="628">
        <f>ROUND(+'New Year-Full Year'!R130,0)</f>
        <v>0</v>
      </c>
      <c r="E19" s="629">
        <v>31573</v>
      </c>
      <c r="G19" s="976"/>
      <c r="H19" s="619"/>
    </row>
    <row r="20" spans="1:8" hidden="1" x14ac:dyDescent="0.35">
      <c r="A20" s="624" t="s">
        <v>337</v>
      </c>
      <c r="B20" s="626">
        <f>ROUND(+'New Year-Full Year'!Q131,0)</f>
        <v>0</v>
      </c>
      <c r="C20" s="626">
        <f>ROUND(+'New Year-Full Year'!V131,0)</f>
        <v>0</v>
      </c>
      <c r="D20" s="626">
        <f>ROUND(+'New Year-Full Year'!R131,0)</f>
        <v>0</v>
      </c>
      <c r="E20" s="627">
        <v>0</v>
      </c>
      <c r="G20" s="976"/>
      <c r="H20" s="619"/>
    </row>
    <row r="21" spans="1:8" ht="16" hidden="1" x14ac:dyDescent="0.5">
      <c r="A21" s="624" t="s">
        <v>338</v>
      </c>
      <c r="B21" s="628">
        <f>ROUND(+'New Year-Full Year'!Q132,0)</f>
        <v>0</v>
      </c>
      <c r="C21" s="628">
        <f>ROUND(+'New Year-Full Year'!V132,0)</f>
        <v>0</v>
      </c>
      <c r="D21" s="628">
        <f>ROUND(+'New Year-Full Year'!R132,0)</f>
        <v>0</v>
      </c>
      <c r="E21" s="629">
        <v>0</v>
      </c>
      <c r="G21" s="977"/>
      <c r="H21" s="619"/>
    </row>
    <row r="22" spans="1:8" x14ac:dyDescent="0.35">
      <c r="A22" s="621" t="s">
        <v>74</v>
      </c>
      <c r="B22" s="631">
        <f>SUM(B17:B21)</f>
        <v>0</v>
      </c>
      <c r="C22" s="631">
        <f>SUM(C17:C21)</f>
        <v>0</v>
      </c>
      <c r="D22" s="631">
        <f>SUM(D17:D21)</f>
        <v>0</v>
      </c>
      <c r="E22" s="632">
        <f>SUM(E17:E21)</f>
        <v>71723</v>
      </c>
      <c r="F22" s="620"/>
      <c r="G22" s="978"/>
      <c r="H22" s="619"/>
    </row>
    <row r="23" spans="1:8" x14ac:dyDescent="0.35">
      <c r="A23" s="624"/>
      <c r="B23" s="640"/>
      <c r="C23" s="640"/>
      <c r="D23" s="640"/>
      <c r="E23" s="641"/>
    </row>
    <row r="24" spans="1:8" ht="15" thickBot="1" x14ac:dyDescent="0.4">
      <c r="A24" s="633" t="s">
        <v>339</v>
      </c>
      <c r="B24" s="698">
        <f>ROUND(+B14-B22,0)</f>
        <v>-3570</v>
      </c>
      <c r="C24" s="698">
        <f>ROUND(+C14-C22,0)</f>
        <v>125315</v>
      </c>
      <c r="D24" s="634">
        <f>+D14-D22</f>
        <v>-1</v>
      </c>
      <c r="E24" s="635">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8" t="s">
        <v>171</v>
      </c>
    </row>
    <row r="2" spans="1:12" x14ac:dyDescent="0.35">
      <c r="B2" s="964">
        <v>43160</v>
      </c>
      <c r="C2">
        <v>2023</v>
      </c>
      <c r="D2" t="s">
        <v>483</v>
      </c>
    </row>
    <row r="3" spans="1:12" x14ac:dyDescent="0.35">
      <c r="B3" s="964">
        <v>41454</v>
      </c>
      <c r="C3">
        <v>2022</v>
      </c>
      <c r="D3" t="s">
        <v>483</v>
      </c>
    </row>
    <row r="4" spans="1:12" x14ac:dyDescent="0.35">
      <c r="A4" t="s">
        <v>512</v>
      </c>
    </row>
    <row r="6" spans="1:12" x14ac:dyDescent="0.35">
      <c r="B6" s="1597"/>
      <c r="C6" s="1597"/>
      <c r="D6" s="1597"/>
      <c r="F6" s="1597"/>
      <c r="G6" s="1597"/>
      <c r="H6" s="1597"/>
    </row>
    <row r="7" spans="1:12" ht="58" x14ac:dyDescent="0.35">
      <c r="B7" s="958" t="s">
        <v>515</v>
      </c>
      <c r="C7" s="958" t="s">
        <v>516</v>
      </c>
      <c r="D7" s="959" t="s">
        <v>203</v>
      </c>
      <c r="E7" s="1598" t="s">
        <v>514</v>
      </c>
      <c r="F7" s="1598"/>
    </row>
    <row r="8" spans="1:12" x14ac:dyDescent="0.35">
      <c r="B8" s="962">
        <v>0.4</v>
      </c>
      <c r="C8" s="963">
        <v>0.6</v>
      </c>
      <c r="E8" s="973" t="s">
        <v>104</v>
      </c>
      <c r="F8" s="973" t="s">
        <v>105</v>
      </c>
    </row>
    <row r="9" spans="1:12" x14ac:dyDescent="0.35">
      <c r="A9" s="960">
        <v>0.1</v>
      </c>
      <c r="B9" s="964">
        <v>55081</v>
      </c>
      <c r="C9" s="964">
        <v>37639</v>
      </c>
      <c r="D9" s="620">
        <f>(+B9*B$8)+(C9*C$8)</f>
        <v>44615.8</v>
      </c>
      <c r="E9" s="631">
        <f>+D9-B$3</f>
        <v>3161.8000000000029</v>
      </c>
      <c r="F9" s="965">
        <f>+E9/B$3</f>
        <v>7.6272494813528324E-2</v>
      </c>
    </row>
    <row r="10" spans="1:12" x14ac:dyDescent="0.35">
      <c r="A10" s="960">
        <v>0.25</v>
      </c>
      <c r="B10" s="964">
        <v>60846</v>
      </c>
      <c r="C10" s="964">
        <v>42100</v>
      </c>
      <c r="D10" s="620">
        <f>(+B10*B$8)+(C10*C$8)</f>
        <v>49598.400000000001</v>
      </c>
      <c r="E10" s="631">
        <f>+D10-B$3</f>
        <v>8144.4000000000015</v>
      </c>
      <c r="F10" s="965">
        <f>+E10/B$3</f>
        <v>0.19646837458387614</v>
      </c>
    </row>
    <row r="11" spans="1:12" x14ac:dyDescent="0.35">
      <c r="A11" s="961" t="s">
        <v>513</v>
      </c>
      <c r="B11" s="964">
        <v>67178</v>
      </c>
      <c r="C11" s="964">
        <v>47000</v>
      </c>
      <c r="D11" s="620">
        <f>(+B11*B$8)+(C11*C$8)</f>
        <v>55071.199999999997</v>
      </c>
      <c r="E11" s="966">
        <f>+D11-B$3</f>
        <v>13617.199999999997</v>
      </c>
      <c r="F11" s="967">
        <f>+E11/B$3</f>
        <v>0.32848940994837644</v>
      </c>
    </row>
    <row r="12" spans="1:12" x14ac:dyDescent="0.35">
      <c r="A12" s="960">
        <v>0.75</v>
      </c>
      <c r="B12" s="964">
        <v>74329</v>
      </c>
      <c r="C12" s="964">
        <v>53000</v>
      </c>
      <c r="D12" s="620">
        <f>(+B12*B$8)+(C12*C$8)</f>
        <v>61531.600000000006</v>
      </c>
      <c r="E12" s="631">
        <f>+D12-B$3</f>
        <v>20077.600000000006</v>
      </c>
      <c r="F12" s="965">
        <f>+E12/B$3</f>
        <v>0.48433444299705714</v>
      </c>
      <c r="L12" s="969"/>
    </row>
    <row r="13" spans="1:12" x14ac:dyDescent="0.35">
      <c r="A13" s="960">
        <v>0.9</v>
      </c>
      <c r="B13" s="964">
        <v>80840</v>
      </c>
      <c r="C13" s="964">
        <v>58463</v>
      </c>
      <c r="D13" s="620">
        <f>(+B13*B$8)+(C13*C$8)</f>
        <v>67413.799999999988</v>
      </c>
      <c r="E13" s="631">
        <f>+D13-B$3</f>
        <v>25959.799999999988</v>
      </c>
      <c r="F13" s="965">
        <f>+E13/B$3</f>
        <v>0.62623148550200192</v>
      </c>
    </row>
    <row r="17" spans="1:6" x14ac:dyDescent="0.35">
      <c r="A17" t="s">
        <v>517</v>
      </c>
    </row>
    <row r="18" spans="1:6" ht="43.5" x14ac:dyDescent="0.35">
      <c r="B18" s="958" t="s">
        <v>518</v>
      </c>
      <c r="C18" s="958" t="s">
        <v>519</v>
      </c>
      <c r="D18" s="959" t="s">
        <v>203</v>
      </c>
      <c r="E18" s="1598"/>
      <c r="F18" s="1598"/>
    </row>
    <row r="19" spans="1:6" x14ac:dyDescent="0.35">
      <c r="B19" s="962">
        <v>0.6</v>
      </c>
      <c r="C19" s="963">
        <v>0.4</v>
      </c>
      <c r="E19" s="973"/>
      <c r="F19" s="973"/>
    </row>
    <row r="20" spans="1:6" x14ac:dyDescent="0.35">
      <c r="A20" s="960">
        <v>0.1</v>
      </c>
      <c r="B20" s="964">
        <v>41284</v>
      </c>
      <c r="C20" s="964">
        <v>28321</v>
      </c>
      <c r="D20" s="620">
        <f>(+B20*B$8)+(C20*C$8)</f>
        <v>33506.199999999997</v>
      </c>
      <c r="E20" s="631"/>
      <c r="F20" s="965"/>
    </row>
    <row r="21" spans="1:6" x14ac:dyDescent="0.35">
      <c r="A21" s="960">
        <v>0.25</v>
      </c>
      <c r="B21" s="964">
        <v>53302</v>
      </c>
      <c r="C21" s="964">
        <v>35276</v>
      </c>
      <c r="D21" s="620">
        <f>(+B21*B$8)+(C21*C$8)</f>
        <v>42486.400000000001</v>
      </c>
      <c r="E21" s="631"/>
      <c r="F21" s="965"/>
    </row>
    <row r="22" spans="1:6" x14ac:dyDescent="0.35">
      <c r="A22" s="961" t="s">
        <v>513</v>
      </c>
      <c r="B22" s="964">
        <v>66502</v>
      </c>
      <c r="C22" s="964">
        <v>42915</v>
      </c>
      <c r="D22" s="620">
        <f>(+B22*B$8)+(C22*C$8)</f>
        <v>52349.8</v>
      </c>
      <c r="E22" s="966"/>
      <c r="F22" s="967"/>
    </row>
    <row r="23" spans="1:6" x14ac:dyDescent="0.35">
      <c r="A23" s="960">
        <v>0.75</v>
      </c>
      <c r="B23" s="964">
        <v>81702</v>
      </c>
      <c r="C23" s="964">
        <v>53123</v>
      </c>
      <c r="D23" s="620">
        <f>(+B23*B$8)+(C23*C$8)</f>
        <v>64554.600000000006</v>
      </c>
      <c r="E23" s="631"/>
      <c r="F23" s="965"/>
    </row>
    <row r="24" spans="1:6" x14ac:dyDescent="0.35">
      <c r="A24" s="960">
        <v>0.9</v>
      </c>
      <c r="B24" s="964">
        <v>95541</v>
      </c>
      <c r="C24" s="964">
        <v>62417</v>
      </c>
      <c r="D24" s="620">
        <f>(+B24*B$8)+(C24*C$8)</f>
        <v>75666.600000000006</v>
      </c>
      <c r="E24" s="631"/>
      <c r="F24" s="96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78"/>
  <sheetViews>
    <sheetView showGridLines="0" topLeftCell="B3" workbookViewId="0">
      <pane xSplit="14" ySplit="2" topLeftCell="P89" activePane="bottomRight" state="frozen"/>
      <selection activeCell="I112" sqref="I112"/>
      <selection pane="topRight" activeCell="I112" sqref="I112"/>
      <selection pane="bottomLeft" activeCell="I112" sqref="I112"/>
      <selection pane="bottomRight" activeCell="B99" sqref="B99"/>
    </sheetView>
  </sheetViews>
  <sheetFormatPr defaultColWidth="9.08984375" defaultRowHeight="14.5" outlineLevelRow="4" outlineLevelCol="2" x14ac:dyDescent="0.35"/>
  <cols>
    <col min="1" max="1" width="4.453125" style="40" hidden="1" customWidth="1"/>
    <col min="2" max="2" width="4.36328125" style="1074" customWidth="1"/>
    <col min="3" max="3" width="10.7265625" style="1049" customWidth="1"/>
    <col min="4" max="4" width="20.7265625" style="1075" customWidth="1"/>
    <col min="5" max="5" width="11.54296875" style="53"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4.54296875" style="36" customWidth="1" collapsed="1"/>
    <col min="17" max="18" width="11.08984375" style="1" customWidth="1"/>
    <col min="19" max="19" width="10.54296875" style="1" customWidth="1"/>
    <col min="20" max="20" width="10" style="1" customWidth="1"/>
    <col min="21" max="21" width="2.6328125" style="334" customWidth="1"/>
    <col min="22" max="22" width="10.90625" style="1" hidden="1" customWidth="1" outlineLevel="1"/>
    <col min="23" max="23" width="10.453125" style="1" hidden="1" customWidth="1" outlineLevel="1"/>
    <col min="24" max="24" width="9" style="4" hidden="1" customWidth="1" outlineLevel="1"/>
    <col min="25" max="25" width="66.26953125" style="1049" customWidth="1" collapsed="1"/>
    <col min="26" max="26" width="8.6328125" style="1" customWidth="1"/>
    <col min="27" max="16384" width="9.08984375" style="1"/>
  </cols>
  <sheetData>
    <row r="1" spans="1:25" ht="41.25" customHeight="1" x14ac:dyDescent="0.35">
      <c r="B1" s="1337" t="s">
        <v>80</v>
      </c>
      <c r="C1" s="1337"/>
      <c r="D1" s="1337"/>
      <c r="E1" s="1337"/>
      <c r="F1" s="1337"/>
      <c r="G1" s="1337"/>
      <c r="H1" s="1337"/>
      <c r="I1" s="1337"/>
      <c r="J1" s="1337"/>
      <c r="K1" s="1337"/>
      <c r="L1" s="1337"/>
      <c r="M1" s="1337"/>
      <c r="N1" s="1337"/>
      <c r="O1" s="1337"/>
      <c r="P1" s="1337"/>
      <c r="Q1" s="1337"/>
      <c r="R1" s="1337"/>
      <c r="S1" s="1337"/>
      <c r="T1" s="1337"/>
      <c r="U1" s="1337"/>
      <c r="V1" s="1337"/>
      <c r="W1" s="1337"/>
      <c r="X1" s="1337"/>
      <c r="Y1" s="1337"/>
    </row>
    <row r="2" spans="1:25" ht="23.25" customHeight="1" x14ac:dyDescent="0.35">
      <c r="Q2" s="1342" t="s">
        <v>79</v>
      </c>
      <c r="R2" s="1343"/>
      <c r="S2" s="1343"/>
      <c r="T2" s="1344"/>
      <c r="V2" s="1371" t="str">
        <f>Bud_Yr-1&amp;" Year to Date (YTD)"</f>
        <v>2024 Year to Date (YTD)</v>
      </c>
      <c r="W2" s="1372"/>
      <c r="X2" s="1373"/>
      <c r="Y2" s="1039"/>
    </row>
    <row r="3" spans="1:25" ht="27.65" customHeight="1" x14ac:dyDescent="0.35">
      <c r="P3" s="1356" t="s">
        <v>780</v>
      </c>
      <c r="Q3" s="1380" t="str">
        <f>Bud_Yr&amp;" Budget"</f>
        <v>2025 Budget</v>
      </c>
      <c r="R3" s="1382" t="str">
        <f>Bud_Yr-1&amp;" Budget"</f>
        <v>2024 Budget</v>
      </c>
      <c r="S3" s="1374" t="str">
        <f>Bud_Yr&amp;" Budget vs             "&amp;Bud_Yr-1&amp;" Budget"</f>
        <v>2025 Budget vs             2024 Budget</v>
      </c>
      <c r="T3" s="1375"/>
      <c r="U3" s="335"/>
      <c r="V3" s="1376" t="s">
        <v>749</v>
      </c>
      <c r="W3" s="1378" t="s">
        <v>750</v>
      </c>
      <c r="X3" s="1352" t="s">
        <v>78</v>
      </c>
      <c r="Y3" s="1040"/>
    </row>
    <row r="4" spans="1:25" s="2" customFormat="1" x14ac:dyDescent="0.35">
      <c r="A4" s="41"/>
      <c r="B4" s="1074"/>
      <c r="C4" s="1074"/>
      <c r="D4" s="1076"/>
      <c r="E4" s="54"/>
      <c r="F4" s="55"/>
      <c r="G4" s="55"/>
      <c r="H4" s="55"/>
      <c r="I4" s="55"/>
      <c r="J4" s="55"/>
      <c r="K4" s="55"/>
      <c r="L4" s="55"/>
      <c r="M4" s="55"/>
      <c r="N4" s="55"/>
      <c r="P4" s="1356"/>
      <c r="Q4" s="1381"/>
      <c r="R4" s="1383"/>
      <c r="S4" s="45" t="s">
        <v>104</v>
      </c>
      <c r="T4" s="47" t="s">
        <v>105</v>
      </c>
      <c r="U4" s="558"/>
      <c r="V4" s="1377"/>
      <c r="W4" s="1379"/>
      <c r="X4" s="1353"/>
      <c r="Y4" s="1041" t="str">
        <f>Bud_Yr&amp;" Budget Notes"</f>
        <v>2025 Budget Notes</v>
      </c>
    </row>
    <row r="5" spans="1:25" s="2" customFormat="1" ht="23.5" x14ac:dyDescent="0.35">
      <c r="A5" s="41"/>
      <c r="B5" s="1073" t="s">
        <v>0</v>
      </c>
      <c r="C5" s="1074"/>
      <c r="D5" s="1076"/>
      <c r="E5" s="54"/>
      <c r="F5" s="55"/>
      <c r="G5" s="55"/>
      <c r="H5" s="55"/>
      <c r="I5" s="55"/>
      <c r="J5" s="55"/>
      <c r="K5" s="55"/>
      <c r="L5" s="55"/>
      <c r="M5" s="55"/>
      <c r="N5" s="55"/>
      <c r="P5" s="55"/>
      <c r="Q5" s="6"/>
      <c r="R5" s="7"/>
      <c r="S5" s="37"/>
      <c r="T5" s="7"/>
      <c r="U5" s="558"/>
      <c r="V5" s="7"/>
      <c r="W5" s="7"/>
      <c r="X5" s="7"/>
      <c r="Y5" s="1040"/>
    </row>
    <row r="6" spans="1:25" s="765" customFormat="1" ht="13.5" customHeight="1" x14ac:dyDescent="0.35">
      <c r="A6" s="764">
        <v>1</v>
      </c>
      <c r="B6" s="1077" t="s">
        <v>1</v>
      </c>
      <c r="C6" s="1042"/>
      <c r="D6" s="1078"/>
      <c r="E6" s="766"/>
      <c r="F6" s="767"/>
      <c r="G6" s="767"/>
      <c r="H6" s="767"/>
      <c r="I6" s="767"/>
      <c r="J6" s="767"/>
      <c r="K6" s="767"/>
      <c r="L6" s="767"/>
      <c r="M6" s="767"/>
      <c r="N6" s="767"/>
      <c r="P6" s="767"/>
      <c r="U6" s="1117"/>
      <c r="X6" s="767"/>
      <c r="Y6" s="1042"/>
    </row>
    <row r="7" spans="1:25" ht="13.5" customHeight="1" x14ac:dyDescent="0.35">
      <c r="A7" s="40">
        <v>2</v>
      </c>
      <c r="C7" s="1079" t="s">
        <v>630</v>
      </c>
      <c r="D7" s="1080"/>
      <c r="E7" s="336"/>
      <c r="F7" s="337"/>
      <c r="G7" s="337"/>
      <c r="H7" s="337"/>
      <c r="I7" s="337"/>
      <c r="J7" s="337"/>
      <c r="K7" s="337"/>
      <c r="L7" s="337"/>
      <c r="M7" s="337"/>
      <c r="N7" s="337"/>
      <c r="O7" s="334"/>
      <c r="P7" s="337"/>
      <c r="Q7" s="341">
        <v>450000</v>
      </c>
      <c r="R7" s="341">
        <v>400000</v>
      </c>
      <c r="S7" s="339">
        <f t="shared" ref="S7:S11" si="0">+Q7-R7</f>
        <v>50000</v>
      </c>
      <c r="T7" s="340">
        <f t="shared" ref="T7:T12" si="1">IF(R7=0,"NA",(+Q7-R7)/R7)</f>
        <v>0.125</v>
      </c>
      <c r="V7" s="338">
        <v>318221.46999999997</v>
      </c>
      <c r="W7" s="338">
        <v>286555.7</v>
      </c>
      <c r="X7" s="340">
        <f t="shared" ref="X7:X12" si="2">IF(W7=0,"NA",(+V7-W7)/W7)</f>
        <v>0.11050476399527198</v>
      </c>
      <c r="Y7" s="1043"/>
    </row>
    <row r="8" spans="1:25" ht="13.5" customHeight="1" x14ac:dyDescent="0.35">
      <c r="A8" s="40">
        <v>4</v>
      </c>
      <c r="C8" s="1038" t="s">
        <v>2</v>
      </c>
      <c r="D8" s="1081"/>
      <c r="E8" s="213"/>
      <c r="F8" s="214"/>
      <c r="G8" s="214"/>
      <c r="H8" s="214"/>
      <c r="I8" s="214"/>
      <c r="J8" s="214"/>
      <c r="K8" s="214"/>
      <c r="L8" s="214"/>
      <c r="M8" s="214"/>
      <c r="N8" s="214"/>
      <c r="O8" s="204"/>
      <c r="P8" s="214"/>
      <c r="Q8" s="201">
        <v>4000</v>
      </c>
      <c r="R8" s="201">
        <v>3000</v>
      </c>
      <c r="S8" s="202">
        <f t="shared" si="0"/>
        <v>1000</v>
      </c>
      <c r="T8" s="203">
        <f t="shared" si="1"/>
        <v>0.33333333333333331</v>
      </c>
      <c r="V8" s="201">
        <v>3875</v>
      </c>
      <c r="W8" s="201">
        <v>3000</v>
      </c>
      <c r="X8" s="203">
        <f t="shared" si="2"/>
        <v>0.29166666666666669</v>
      </c>
      <c r="Y8" s="1044"/>
    </row>
    <row r="9" spans="1:25" ht="13.5" customHeight="1" x14ac:dyDescent="0.35">
      <c r="A9" s="40">
        <v>5</v>
      </c>
      <c r="C9" s="1038" t="s">
        <v>3</v>
      </c>
      <c r="D9" s="1081"/>
      <c r="E9" s="213"/>
      <c r="F9" s="214"/>
      <c r="G9" s="214"/>
      <c r="H9" s="214"/>
      <c r="I9" s="214"/>
      <c r="J9" s="214"/>
      <c r="K9" s="214"/>
      <c r="L9" s="214"/>
      <c r="M9" s="214"/>
      <c r="N9" s="214"/>
      <c r="O9" s="204"/>
      <c r="P9" s="214"/>
      <c r="Q9" s="201">
        <v>1000</v>
      </c>
      <c r="R9" s="201">
        <v>500</v>
      </c>
      <c r="S9" s="202">
        <f t="shared" si="0"/>
        <v>500</v>
      </c>
      <c r="T9" s="203">
        <f t="shared" si="1"/>
        <v>1</v>
      </c>
      <c r="V9" s="201">
        <v>0</v>
      </c>
      <c r="W9" s="201">
        <v>0</v>
      </c>
      <c r="X9" s="203" t="str">
        <f t="shared" si="2"/>
        <v>NA</v>
      </c>
      <c r="Y9" s="1044"/>
    </row>
    <row r="10" spans="1:25" ht="13.5" customHeight="1" x14ac:dyDescent="0.35">
      <c r="A10" s="40">
        <v>6</v>
      </c>
      <c r="C10" s="1038" t="s">
        <v>4</v>
      </c>
      <c r="D10" s="1081"/>
      <c r="E10" s="213"/>
      <c r="F10" s="214"/>
      <c r="G10" s="214"/>
      <c r="H10" s="214"/>
      <c r="I10" s="214"/>
      <c r="J10" s="214"/>
      <c r="K10" s="214"/>
      <c r="L10" s="214"/>
      <c r="M10" s="214"/>
      <c r="N10" s="214"/>
      <c r="O10" s="204"/>
      <c r="P10" s="214"/>
      <c r="Q10" s="201">
        <v>6000</v>
      </c>
      <c r="R10" s="201">
        <v>5000</v>
      </c>
      <c r="S10" s="202">
        <f t="shared" si="0"/>
        <v>1000</v>
      </c>
      <c r="T10" s="203">
        <f t="shared" si="1"/>
        <v>0.2</v>
      </c>
      <c r="V10" s="201">
        <v>0</v>
      </c>
      <c r="W10" s="201">
        <v>0</v>
      </c>
      <c r="X10" s="203" t="str">
        <f t="shared" si="2"/>
        <v>NA</v>
      </c>
      <c r="Y10" s="1044"/>
    </row>
    <row r="11" spans="1:25" ht="13.5" customHeight="1" x14ac:dyDescent="0.35">
      <c r="A11" s="40">
        <v>7</v>
      </c>
      <c r="C11" s="1038" t="s">
        <v>5</v>
      </c>
      <c r="D11" s="1081"/>
      <c r="E11" s="213"/>
      <c r="F11" s="214"/>
      <c r="G11" s="214"/>
      <c r="H11" s="214"/>
      <c r="I11" s="214"/>
      <c r="J11" s="214"/>
      <c r="K11" s="214"/>
      <c r="L11" s="214"/>
      <c r="M11" s="214"/>
      <c r="N11" s="214"/>
      <c r="O11" s="204"/>
      <c r="P11" s="214"/>
      <c r="Q11" s="201">
        <v>2500</v>
      </c>
      <c r="R11" s="201">
        <v>1500</v>
      </c>
      <c r="S11" s="202">
        <f t="shared" si="0"/>
        <v>1000</v>
      </c>
      <c r="T11" s="203">
        <f t="shared" si="1"/>
        <v>0.66666666666666663</v>
      </c>
      <c r="V11" s="201">
        <v>2568</v>
      </c>
      <c r="W11" s="201">
        <v>1500</v>
      </c>
      <c r="X11" s="203">
        <f t="shared" si="2"/>
        <v>0.71199999999999997</v>
      </c>
      <c r="Y11" s="1044"/>
    </row>
    <row r="12" spans="1:25" ht="13.5" customHeight="1" x14ac:dyDescent="0.35">
      <c r="A12" s="40">
        <v>8</v>
      </c>
      <c r="B12" s="1082" t="s">
        <v>6</v>
      </c>
      <c r="C12" s="1082"/>
      <c r="D12" s="1082"/>
      <c r="E12" s="56"/>
      <c r="F12" s="56"/>
      <c r="G12" s="56"/>
      <c r="H12" s="56"/>
      <c r="I12" s="56"/>
      <c r="J12" s="56"/>
      <c r="K12" s="56"/>
      <c r="L12" s="56"/>
      <c r="M12" s="56"/>
      <c r="N12" s="56"/>
      <c r="O12" s="8"/>
      <c r="P12" s="56"/>
      <c r="Q12" s="8">
        <f>SUM(Q7:Q11)</f>
        <v>463500</v>
      </c>
      <c r="R12" s="8">
        <f>SUM(R7:R11)</f>
        <v>410000</v>
      </c>
      <c r="S12" s="8">
        <f>SUM(S7:S11)</f>
        <v>53500</v>
      </c>
      <c r="T12" s="9">
        <f t="shared" si="1"/>
        <v>0.13048780487804879</v>
      </c>
      <c r="V12" s="8">
        <f>SUM(V7:V11)</f>
        <v>324664.46999999997</v>
      </c>
      <c r="W12" s="8">
        <f>SUM(W7:W11)</f>
        <v>291055.7</v>
      </c>
      <c r="X12" s="9">
        <f t="shared" si="2"/>
        <v>0.11547195261937822</v>
      </c>
      <c r="Y12" s="1045"/>
    </row>
    <row r="13" spans="1:25" ht="13.5" customHeight="1" x14ac:dyDescent="0.35">
      <c r="A13" s="40">
        <v>16</v>
      </c>
      <c r="B13" s="1116"/>
      <c r="C13" s="1083" t="s">
        <v>756</v>
      </c>
      <c r="D13" s="1084"/>
      <c r="E13" s="216"/>
      <c r="F13" s="217"/>
      <c r="G13" s="217"/>
      <c r="H13" s="217"/>
      <c r="I13" s="217"/>
      <c r="J13" s="217"/>
      <c r="K13" s="217"/>
      <c r="L13" s="217"/>
      <c r="M13" s="217"/>
      <c r="N13" s="217"/>
      <c r="O13" s="208"/>
      <c r="P13" s="217"/>
      <c r="Q13" s="205">
        <v>10000</v>
      </c>
      <c r="R13" s="205">
        <v>6000</v>
      </c>
      <c r="S13" s="206">
        <f>+Q13-R13</f>
        <v>4000</v>
      </c>
      <c r="T13" s="207">
        <f>IF(R13=0,"NA",(+Q13-R13)/R13)</f>
        <v>0.66666666666666663</v>
      </c>
      <c r="V13" s="205">
        <v>19248.439999999999</v>
      </c>
      <c r="W13" s="205">
        <v>4000</v>
      </c>
      <c r="X13" s="207">
        <f>IF(W13=0,"NA",(+V13-W13)/W13)</f>
        <v>3.8121099999999997</v>
      </c>
      <c r="Y13" s="1046" t="s">
        <v>757</v>
      </c>
    </row>
    <row r="14" spans="1:25" ht="17" customHeight="1" x14ac:dyDescent="0.35">
      <c r="A14" s="40">
        <v>17</v>
      </c>
      <c r="B14" s="1082" t="s">
        <v>8</v>
      </c>
      <c r="C14" s="1082"/>
      <c r="D14" s="1082"/>
      <c r="E14" s="56"/>
      <c r="F14" s="56"/>
      <c r="G14" s="56"/>
      <c r="H14" s="56"/>
      <c r="I14" s="56"/>
      <c r="J14" s="56"/>
      <c r="K14" s="56"/>
      <c r="L14" s="56"/>
      <c r="M14" s="56"/>
      <c r="N14" s="56"/>
      <c r="O14" s="8"/>
      <c r="P14" s="56"/>
      <c r="Q14" s="8">
        <f>+Q12+Q13</f>
        <v>473500</v>
      </c>
      <c r="R14" s="8">
        <f>+R12+R13</f>
        <v>416000</v>
      </c>
      <c r="S14" s="8">
        <f>+S12+S13</f>
        <v>57500</v>
      </c>
      <c r="T14" s="9">
        <f>IF(R14=0,"NA",(+Q14-R14)/R14)</f>
        <v>0.13822115384615385</v>
      </c>
      <c r="V14" s="8">
        <f>+V12+V13</f>
        <v>343912.91</v>
      </c>
      <c r="W14" s="8">
        <f>+W12+W13</f>
        <v>295055.7</v>
      </c>
      <c r="X14" s="9">
        <f>IF(W14=0,"NA",(+V14-W14)/W14)</f>
        <v>0.16558639606013359</v>
      </c>
      <c r="Y14" s="1047"/>
    </row>
    <row r="15" spans="1:25" s="769" customFormat="1" ht="23.5" customHeight="1" x14ac:dyDescent="0.55000000000000004">
      <c r="A15" s="768">
        <v>19</v>
      </c>
      <c r="B15" s="1085" t="s">
        <v>9</v>
      </c>
      <c r="C15" s="1048"/>
      <c r="D15" s="1086"/>
      <c r="E15" s="770"/>
      <c r="F15" s="771"/>
      <c r="G15" s="771"/>
      <c r="H15" s="771"/>
      <c r="I15" s="771"/>
      <c r="J15" s="771"/>
      <c r="K15" s="771"/>
      <c r="L15" s="771"/>
      <c r="M15" s="771"/>
      <c r="N15" s="771"/>
      <c r="P15" s="771"/>
      <c r="T15" s="771"/>
      <c r="U15" s="1118"/>
      <c r="X15" s="771"/>
      <c r="Y15" s="1048"/>
    </row>
    <row r="16" spans="1:25" ht="17" customHeight="1" x14ac:dyDescent="0.35">
      <c r="B16" s="1087" t="s">
        <v>85</v>
      </c>
      <c r="T16" s="36"/>
      <c r="X16" s="36"/>
    </row>
    <row r="17" spans="1:26" ht="13.5" customHeight="1" x14ac:dyDescent="0.35">
      <c r="B17" s="1087"/>
      <c r="C17" s="1088" t="s">
        <v>250</v>
      </c>
      <c r="D17" s="1089"/>
      <c r="E17" s="210"/>
      <c r="F17" s="211"/>
      <c r="G17" s="211"/>
      <c r="H17" s="211"/>
      <c r="I17" s="211"/>
      <c r="J17" s="211"/>
      <c r="K17" s="211"/>
      <c r="L17" s="211"/>
      <c r="M17" s="211"/>
      <c r="N17" s="211"/>
      <c r="O17" s="200"/>
      <c r="P17" s="211"/>
      <c r="Q17" s="220">
        <v>10000</v>
      </c>
      <c r="R17" s="220">
        <v>17150</v>
      </c>
      <c r="S17" s="198">
        <f t="shared" ref="S17:S27" si="3">+Q17-R17</f>
        <v>-7150</v>
      </c>
      <c r="T17" s="199">
        <f t="shared" ref="T17:T27" si="4">IF(R17=0,"NA",(+Q17-R17)/R17)</f>
        <v>-0.41690962099125367</v>
      </c>
      <c r="V17" s="197">
        <v>8575</v>
      </c>
      <c r="W17" s="197">
        <v>8575</v>
      </c>
      <c r="X17" s="199">
        <f t="shared" ref="X17:X27" si="5">IF(W17=0,"NA",(+V17-W17)/W17)</f>
        <v>0</v>
      </c>
      <c r="Y17" s="1050"/>
    </row>
    <row r="18" spans="1:26" ht="13.5" customHeight="1" x14ac:dyDescent="0.35">
      <c r="B18" s="1087"/>
      <c r="C18" s="1038" t="s">
        <v>378</v>
      </c>
      <c r="D18" s="1081"/>
      <c r="E18" s="213"/>
      <c r="F18" s="214"/>
      <c r="G18" s="214"/>
      <c r="H18" s="214"/>
      <c r="I18" s="214"/>
      <c r="J18" s="214"/>
      <c r="K18" s="214"/>
      <c r="L18" s="214"/>
      <c r="M18" s="214"/>
      <c r="N18" s="214"/>
      <c r="O18" s="204"/>
      <c r="P18" s="214"/>
      <c r="Q18" s="218">
        <v>500</v>
      </c>
      <c r="R18" s="218">
        <v>500</v>
      </c>
      <c r="S18" s="198">
        <f t="shared" si="3"/>
        <v>0</v>
      </c>
      <c r="T18" s="199">
        <f t="shared" si="4"/>
        <v>0</v>
      </c>
      <c r="V18" s="197">
        <v>251</v>
      </c>
      <c r="W18" s="197">
        <v>250</v>
      </c>
      <c r="X18" s="199">
        <f t="shared" si="5"/>
        <v>4.0000000000000001E-3</v>
      </c>
      <c r="Y18" s="1050"/>
    </row>
    <row r="19" spans="1:26" ht="13.5" customHeight="1" x14ac:dyDescent="0.35">
      <c r="B19" s="1087"/>
      <c r="C19" s="1038" t="s">
        <v>258</v>
      </c>
      <c r="D19" s="1081"/>
      <c r="E19" s="213"/>
      <c r="F19" s="214"/>
      <c r="G19" s="214"/>
      <c r="H19" s="214"/>
      <c r="I19" s="214"/>
      <c r="J19" s="214"/>
      <c r="K19" s="214"/>
      <c r="L19" s="214"/>
      <c r="M19" s="214"/>
      <c r="N19" s="214"/>
      <c r="O19" s="204"/>
      <c r="P19" s="214"/>
      <c r="Q19" s="218">
        <v>1500</v>
      </c>
      <c r="R19" s="218">
        <v>1500</v>
      </c>
      <c r="S19" s="198">
        <f t="shared" si="3"/>
        <v>0</v>
      </c>
      <c r="T19" s="199">
        <f t="shared" si="4"/>
        <v>0</v>
      </c>
      <c r="V19" s="197">
        <v>750</v>
      </c>
      <c r="W19" s="197">
        <v>750</v>
      </c>
      <c r="X19" s="199">
        <f t="shared" si="5"/>
        <v>0</v>
      </c>
      <c r="Y19" s="1050"/>
    </row>
    <row r="20" spans="1:26" ht="13.5" customHeight="1" x14ac:dyDescent="0.35">
      <c r="B20" s="1087"/>
      <c r="C20" s="1038" t="s">
        <v>521</v>
      </c>
      <c r="D20" s="1081"/>
      <c r="E20" s="213"/>
      <c r="F20" s="214"/>
      <c r="G20" s="214"/>
      <c r="H20" s="214"/>
      <c r="I20" s="214"/>
      <c r="J20" s="214"/>
      <c r="K20" s="214"/>
      <c r="L20" s="214"/>
      <c r="M20" s="214"/>
      <c r="N20" s="214"/>
      <c r="O20" s="204"/>
      <c r="P20" s="214"/>
      <c r="Q20" s="218">
        <v>750</v>
      </c>
      <c r="R20" s="218">
        <v>750</v>
      </c>
      <c r="S20" s="198">
        <f t="shared" si="3"/>
        <v>0</v>
      </c>
      <c r="T20" s="199">
        <f t="shared" si="4"/>
        <v>0</v>
      </c>
      <c r="V20" s="197">
        <v>375</v>
      </c>
      <c r="W20" s="197">
        <v>375</v>
      </c>
      <c r="X20" s="199">
        <f t="shared" si="5"/>
        <v>0</v>
      </c>
      <c r="Y20" s="1050"/>
    </row>
    <row r="21" spans="1:26" ht="13.5" customHeight="1" x14ac:dyDescent="0.35">
      <c r="B21" s="1087"/>
      <c r="C21" s="1038" t="s">
        <v>520</v>
      </c>
      <c r="D21" s="1081"/>
      <c r="E21" s="213"/>
      <c r="F21" s="214"/>
      <c r="G21" s="214"/>
      <c r="H21" s="214"/>
      <c r="I21" s="214"/>
      <c r="J21" s="214"/>
      <c r="K21" s="214"/>
      <c r="L21" s="214"/>
      <c r="M21" s="214"/>
      <c r="N21" s="214"/>
      <c r="O21" s="204"/>
      <c r="P21" s="214"/>
      <c r="Q21" s="218">
        <v>500</v>
      </c>
      <c r="R21" s="218">
        <v>1000</v>
      </c>
      <c r="S21" s="198">
        <f t="shared" si="3"/>
        <v>-500</v>
      </c>
      <c r="T21" s="199">
        <f t="shared" si="4"/>
        <v>-0.5</v>
      </c>
      <c r="V21" s="197">
        <v>500</v>
      </c>
      <c r="W21" s="197">
        <v>500</v>
      </c>
      <c r="X21" s="199">
        <f t="shared" si="5"/>
        <v>0</v>
      </c>
      <c r="Y21" s="1050"/>
    </row>
    <row r="22" spans="1:26" ht="13.5" customHeight="1" x14ac:dyDescent="0.35">
      <c r="B22" s="1087"/>
      <c r="C22" s="1038" t="s">
        <v>229</v>
      </c>
      <c r="D22" s="1081"/>
      <c r="E22" s="213"/>
      <c r="F22" s="214"/>
      <c r="G22" s="214"/>
      <c r="H22" s="214"/>
      <c r="I22" s="214"/>
      <c r="J22" s="214"/>
      <c r="K22" s="214"/>
      <c r="L22" s="214"/>
      <c r="M22" s="214"/>
      <c r="N22" s="214"/>
      <c r="O22" s="204"/>
      <c r="P22" s="214"/>
      <c r="Q22" s="218">
        <v>500</v>
      </c>
      <c r="R22" s="218">
        <v>0</v>
      </c>
      <c r="S22" s="198">
        <f t="shared" ref="S22" si="6">+Q22-R22</f>
        <v>500</v>
      </c>
      <c r="T22" s="199" t="str">
        <f t="shared" ref="T22" si="7">IF(R22=0,"NA",(+Q22-R22)/R22)</f>
        <v>NA</v>
      </c>
      <c r="V22" s="197">
        <v>0</v>
      </c>
      <c r="W22" s="197">
        <v>0</v>
      </c>
      <c r="X22" s="199" t="str">
        <f t="shared" ref="X22" si="8">IF(W22=0,"NA",(+V22-W22)/W22)</f>
        <v>NA</v>
      </c>
      <c r="Y22" s="1050" t="s">
        <v>764</v>
      </c>
    </row>
    <row r="23" spans="1:26" ht="13.5" customHeight="1" x14ac:dyDescent="0.35">
      <c r="B23" s="1087"/>
      <c r="C23" s="1038" t="s">
        <v>765</v>
      </c>
      <c r="D23" s="1081"/>
      <c r="E23" s="213"/>
      <c r="F23" s="214"/>
      <c r="G23" s="214"/>
      <c r="H23" s="214"/>
      <c r="I23" s="214"/>
      <c r="J23" s="214"/>
      <c r="K23" s="214"/>
      <c r="L23" s="214"/>
      <c r="M23" s="214"/>
      <c r="N23" s="214"/>
      <c r="O23" s="204"/>
      <c r="P23" s="214"/>
      <c r="Q23" s="218">
        <v>500</v>
      </c>
      <c r="R23" s="218">
        <v>0</v>
      </c>
      <c r="S23" s="198">
        <f t="shared" ref="S23" si="9">+Q23-R23</f>
        <v>500</v>
      </c>
      <c r="T23" s="199" t="str">
        <f t="shared" ref="T23" si="10">IF(R23=0,"NA",(+Q23-R23)/R23)</f>
        <v>NA</v>
      </c>
      <c r="V23" s="197">
        <v>0</v>
      </c>
      <c r="W23" s="197">
        <v>0</v>
      </c>
      <c r="X23" s="199" t="str">
        <f t="shared" ref="X23" si="11">IF(W23=0,"NA",(+V23-W23)/W23)</f>
        <v>NA</v>
      </c>
      <c r="Y23" s="1050" t="s">
        <v>766</v>
      </c>
    </row>
    <row r="24" spans="1:26" ht="28" customHeight="1" x14ac:dyDescent="0.35">
      <c r="B24" s="1087"/>
      <c r="C24" s="1038" t="s">
        <v>631</v>
      </c>
      <c r="D24" s="1081"/>
      <c r="E24" s="213"/>
      <c r="F24" s="214"/>
      <c r="G24" s="214"/>
      <c r="H24" s="214"/>
      <c r="I24" s="214"/>
      <c r="J24" s="214"/>
      <c r="K24" s="214"/>
      <c r="L24" s="214"/>
      <c r="M24" s="214"/>
      <c r="N24" s="214"/>
      <c r="O24" s="204"/>
      <c r="P24" s="214"/>
      <c r="Q24" s="218">
        <v>1000</v>
      </c>
      <c r="R24" s="218">
        <v>1000</v>
      </c>
      <c r="S24" s="198">
        <f t="shared" ref="S24" si="12">+Q24-R24</f>
        <v>0</v>
      </c>
      <c r="T24" s="199">
        <f t="shared" ref="T24" si="13">IF(R24=0,"NA",(+Q24-R24)/R24)</f>
        <v>0</v>
      </c>
      <c r="V24" s="197">
        <v>500</v>
      </c>
      <c r="W24" s="197">
        <v>500</v>
      </c>
      <c r="X24" s="199">
        <f t="shared" ref="X24" si="14">IF(W24=0,"NA",(+V24-W24)/W24)</f>
        <v>0</v>
      </c>
      <c r="Y24" s="1206" t="s">
        <v>716</v>
      </c>
    </row>
    <row r="25" spans="1:26" ht="13.5" customHeight="1" x14ac:dyDescent="0.35">
      <c r="B25" s="1087"/>
      <c r="C25" s="1038" t="s">
        <v>255</v>
      </c>
      <c r="D25" s="1081"/>
      <c r="E25" s="213"/>
      <c r="F25" s="214"/>
      <c r="G25" s="214"/>
      <c r="H25" s="214"/>
      <c r="I25" s="214"/>
      <c r="J25" s="214"/>
      <c r="K25" s="214"/>
      <c r="L25" s="214"/>
      <c r="M25" s="214"/>
      <c r="N25" s="214"/>
      <c r="O25" s="204"/>
      <c r="P25" s="214"/>
      <c r="Q25" s="218">
        <v>1000</v>
      </c>
      <c r="R25" s="218">
        <v>1000</v>
      </c>
      <c r="S25" s="198">
        <f t="shared" si="3"/>
        <v>0</v>
      </c>
      <c r="T25" s="199">
        <f t="shared" si="4"/>
        <v>0</v>
      </c>
      <c r="V25" s="197">
        <v>500</v>
      </c>
      <c r="W25" s="197">
        <v>500</v>
      </c>
      <c r="X25" s="199">
        <f t="shared" si="5"/>
        <v>0</v>
      </c>
      <c r="Y25" s="1050"/>
    </row>
    <row r="26" spans="1:26" ht="13.5" customHeight="1" x14ac:dyDescent="0.35">
      <c r="B26" s="1087"/>
      <c r="C26" s="1038" t="s">
        <v>377</v>
      </c>
      <c r="D26" s="1081"/>
      <c r="E26" s="213"/>
      <c r="F26" s="214"/>
      <c r="G26" s="214"/>
      <c r="H26" s="214"/>
      <c r="I26" s="214"/>
      <c r="J26" s="214"/>
      <c r="K26" s="214"/>
      <c r="L26" s="214"/>
      <c r="M26" s="214"/>
      <c r="N26" s="214"/>
      <c r="O26" s="204"/>
      <c r="P26" s="214"/>
      <c r="Q26" s="218">
        <v>1000</v>
      </c>
      <c r="R26" s="218">
        <v>1000</v>
      </c>
      <c r="S26" s="198">
        <f t="shared" si="3"/>
        <v>0</v>
      </c>
      <c r="T26" s="199">
        <f t="shared" si="4"/>
        <v>0</v>
      </c>
      <c r="V26" s="197">
        <v>500</v>
      </c>
      <c r="W26" s="197">
        <v>500</v>
      </c>
      <c r="X26" s="199">
        <f t="shared" si="5"/>
        <v>0</v>
      </c>
      <c r="Y26" s="1050"/>
    </row>
    <row r="27" spans="1:26" ht="13.5" customHeight="1" x14ac:dyDescent="0.35">
      <c r="B27" s="1087"/>
      <c r="C27" s="1038" t="s">
        <v>257</v>
      </c>
      <c r="D27" s="1081"/>
      <c r="E27" s="213"/>
      <c r="F27" s="214"/>
      <c r="G27" s="214"/>
      <c r="H27" s="214"/>
      <c r="I27" s="214"/>
      <c r="J27" s="214"/>
      <c r="K27" s="214"/>
      <c r="L27" s="214"/>
      <c r="M27" s="214"/>
      <c r="N27" s="214"/>
      <c r="O27" s="204"/>
      <c r="P27" s="214"/>
      <c r="Q27" s="218">
        <v>1000</v>
      </c>
      <c r="R27" s="218">
        <v>1000</v>
      </c>
      <c r="S27" s="198">
        <f t="shared" si="3"/>
        <v>0</v>
      </c>
      <c r="T27" s="199">
        <f t="shared" si="4"/>
        <v>0</v>
      </c>
      <c r="V27" s="197">
        <v>500</v>
      </c>
      <c r="W27" s="197">
        <v>500</v>
      </c>
      <c r="X27" s="199">
        <f t="shared" si="5"/>
        <v>0</v>
      </c>
      <c r="Y27" s="1050"/>
    </row>
    <row r="28" spans="1:26" s="2" customFormat="1" ht="24.5" customHeight="1" x14ac:dyDescent="0.35">
      <c r="A28" s="40">
        <v>26</v>
      </c>
      <c r="B28" s="1090">
        <v>0.08</v>
      </c>
      <c r="C28" s="1390" t="str">
        <f>ROUND((Q28/Q14),3)*100&amp;"% Benevolence Budget                    "&amp;ROUND((V28/V14),3)*100&amp;"% Actual YTD"</f>
        <v>3.9% Benevolence Budget                    3.6% Actual YTD</v>
      </c>
      <c r="D28" s="1390"/>
      <c r="E28" s="57"/>
      <c r="F28" s="58"/>
      <c r="G28" s="58"/>
      <c r="H28" s="58"/>
      <c r="I28" s="58"/>
      <c r="J28" s="58"/>
      <c r="K28" s="58"/>
      <c r="L28" s="58"/>
      <c r="M28" s="58"/>
      <c r="N28" s="58"/>
      <c r="O28" s="10"/>
      <c r="P28" s="58"/>
      <c r="Q28" s="10">
        <f>SUM(Q17:Q27)</f>
        <v>18250</v>
      </c>
      <c r="R28" s="10">
        <f>SUM(R17:R27)</f>
        <v>24900</v>
      </c>
      <c r="S28" s="10">
        <f>+Q28-R28</f>
        <v>-6650</v>
      </c>
      <c r="T28" s="12">
        <f>IF(R28=0,"NA",(+Q28-R28)/R28)</f>
        <v>-0.26706827309236947</v>
      </c>
      <c r="U28" s="334"/>
      <c r="V28" s="485">
        <f>SUM(V17:V27)</f>
        <v>12451</v>
      </c>
      <c r="W28" s="485">
        <f>SUM(W17:W27)</f>
        <v>12450</v>
      </c>
      <c r="X28" s="12">
        <f>IF(W28=0,"NA",(+V28-W28)/W28)</f>
        <v>8.032128514056225E-5</v>
      </c>
      <c r="Y28" s="1051" t="s">
        <v>635</v>
      </c>
      <c r="Z28" s="2" t="s">
        <v>288</v>
      </c>
    </row>
    <row r="29" spans="1:26" s="2" customFormat="1" ht="17" customHeight="1" x14ac:dyDescent="0.35">
      <c r="A29" s="40">
        <v>28</v>
      </c>
      <c r="B29" s="1091" t="s">
        <v>56</v>
      </c>
      <c r="C29" s="1092"/>
      <c r="D29" s="1076"/>
      <c r="E29" s="54"/>
      <c r="F29" s="54"/>
      <c r="G29" s="54"/>
      <c r="H29" s="54"/>
      <c r="I29" s="54"/>
      <c r="J29" s="54"/>
      <c r="K29" s="54"/>
      <c r="L29" s="54"/>
      <c r="M29" s="54"/>
      <c r="N29" s="54"/>
      <c r="O29" s="13"/>
      <c r="P29" s="54"/>
      <c r="Q29" s="484"/>
      <c r="R29" s="755"/>
      <c r="S29" s="13"/>
      <c r="T29" s="16"/>
      <c r="U29" s="334"/>
      <c r="V29" s="13"/>
      <c r="W29" s="13"/>
      <c r="X29" s="16"/>
      <c r="Y29" s="1052"/>
    </row>
    <row r="30" spans="1:26" s="765" customFormat="1" ht="13.5" customHeight="1" x14ac:dyDescent="0.35">
      <c r="A30" s="764">
        <v>29</v>
      </c>
      <c r="B30" s="1077" t="s">
        <v>10</v>
      </c>
      <c r="C30" s="1042"/>
      <c r="D30" s="1078"/>
      <c r="E30" s="766"/>
      <c r="F30" s="767"/>
      <c r="G30" s="767"/>
      <c r="H30" s="767"/>
      <c r="I30" s="767"/>
      <c r="J30" s="767"/>
      <c r="K30" s="767"/>
      <c r="L30" s="767"/>
      <c r="M30" s="767"/>
      <c r="N30" s="767"/>
      <c r="P30" s="767"/>
      <c r="T30" s="767"/>
      <c r="U30" s="1117"/>
      <c r="X30" s="767"/>
      <c r="Y30" s="1042"/>
    </row>
    <row r="31" spans="1:26" ht="13.5" customHeight="1" x14ac:dyDescent="0.35">
      <c r="A31" s="40">
        <v>30</v>
      </c>
      <c r="C31" s="1079" t="s">
        <v>77</v>
      </c>
      <c r="D31" s="1080"/>
      <c r="E31" s="336"/>
      <c r="F31" s="337"/>
      <c r="G31" s="337"/>
      <c r="H31" s="337"/>
      <c r="I31" s="337"/>
      <c r="J31" s="337"/>
      <c r="K31" s="337"/>
      <c r="L31" s="337"/>
      <c r="M31" s="337"/>
      <c r="N31" s="337"/>
      <c r="O31" s="334"/>
      <c r="P31" s="337" t="s">
        <v>781</v>
      </c>
      <c r="Q31" s="338">
        <v>1000</v>
      </c>
      <c r="R31" s="338">
        <v>1250</v>
      </c>
      <c r="S31" s="339">
        <f t="shared" ref="S31:S36" si="15">+Q31-R31</f>
        <v>-250</v>
      </c>
      <c r="T31" s="340">
        <f t="shared" ref="T31:T37" si="16">IF(R31=0,"NA",(+Q31-R31)/R31)</f>
        <v>-0.2</v>
      </c>
      <c r="V31" s="338">
        <v>429.57</v>
      </c>
      <c r="W31" s="338">
        <v>694.44</v>
      </c>
      <c r="X31" s="340">
        <f t="shared" ref="X31:X37" si="17">IF(W31=0,"NA",(+V31-W31)/W31)</f>
        <v>-0.38141524105754282</v>
      </c>
      <c r="Y31" s="1057" t="s">
        <v>751</v>
      </c>
    </row>
    <row r="32" spans="1:26" ht="13.5" customHeight="1" x14ac:dyDescent="0.35">
      <c r="A32" s="40">
        <v>31</v>
      </c>
      <c r="C32" s="1083" t="s">
        <v>11</v>
      </c>
      <c r="D32" s="1084"/>
      <c r="E32" s="216"/>
      <c r="F32" s="217"/>
      <c r="G32" s="217"/>
      <c r="H32" s="217"/>
      <c r="I32" s="217"/>
      <c r="J32" s="217"/>
      <c r="K32" s="217"/>
      <c r="L32" s="217"/>
      <c r="M32" s="217"/>
      <c r="N32" s="217"/>
      <c r="O32" s="208"/>
      <c r="P32" s="217" t="s">
        <v>783</v>
      </c>
      <c r="Q32" s="205">
        <v>500</v>
      </c>
      <c r="R32" s="205">
        <v>750</v>
      </c>
      <c r="S32" s="206">
        <f t="shared" si="15"/>
        <v>-250</v>
      </c>
      <c r="T32" s="207">
        <f t="shared" si="16"/>
        <v>-0.33333333333333331</v>
      </c>
      <c r="V32" s="205">
        <v>141.11000000000001</v>
      </c>
      <c r="W32" s="205">
        <v>750</v>
      </c>
      <c r="X32" s="207">
        <f t="shared" si="17"/>
        <v>-0.81185333333333332</v>
      </c>
      <c r="Y32" s="1053" t="s">
        <v>752</v>
      </c>
    </row>
    <row r="33" spans="1:25" ht="13.5" customHeight="1" x14ac:dyDescent="0.35">
      <c r="A33" s="40">
        <v>32</v>
      </c>
      <c r="C33" s="1083" t="s">
        <v>229</v>
      </c>
      <c r="D33" s="1084"/>
      <c r="E33" s="216"/>
      <c r="F33" s="217"/>
      <c r="G33" s="217"/>
      <c r="H33" s="217"/>
      <c r="I33" s="217"/>
      <c r="J33" s="217"/>
      <c r="K33" s="217"/>
      <c r="L33" s="217"/>
      <c r="M33" s="217"/>
      <c r="N33" s="217"/>
      <c r="O33" s="208"/>
      <c r="P33" s="217" t="s">
        <v>784</v>
      </c>
      <c r="Q33" s="205">
        <v>0</v>
      </c>
      <c r="R33" s="205">
        <v>250</v>
      </c>
      <c r="S33" s="206">
        <f t="shared" si="15"/>
        <v>-250</v>
      </c>
      <c r="T33" s="207">
        <f t="shared" si="16"/>
        <v>-1</v>
      </c>
      <c r="V33" s="205">
        <v>69.27</v>
      </c>
      <c r="W33" s="205">
        <v>250</v>
      </c>
      <c r="X33" s="207">
        <f t="shared" si="17"/>
        <v>-0.72292000000000012</v>
      </c>
      <c r="Y33" s="1053" t="s">
        <v>753</v>
      </c>
    </row>
    <row r="34" spans="1:25" ht="13.5" customHeight="1" x14ac:dyDescent="0.35">
      <c r="A34" s="40">
        <v>33</v>
      </c>
      <c r="C34" s="1083" t="s">
        <v>12</v>
      </c>
      <c r="D34" s="1084"/>
      <c r="E34" s="216"/>
      <c r="F34" s="217"/>
      <c r="G34" s="217"/>
      <c r="H34" s="217"/>
      <c r="I34" s="217"/>
      <c r="J34" s="217"/>
      <c r="K34" s="217"/>
      <c r="L34" s="217"/>
      <c r="M34" s="217"/>
      <c r="N34" s="217"/>
      <c r="O34" s="208"/>
      <c r="P34" s="217" t="s">
        <v>782</v>
      </c>
      <c r="Q34" s="205">
        <v>300</v>
      </c>
      <c r="R34" s="205">
        <v>300</v>
      </c>
      <c r="S34" s="206">
        <f t="shared" si="15"/>
        <v>0</v>
      </c>
      <c r="T34" s="207">
        <f t="shared" si="16"/>
        <v>0</v>
      </c>
      <c r="V34" s="205">
        <v>0</v>
      </c>
      <c r="W34" s="205">
        <v>0</v>
      </c>
      <c r="X34" s="207" t="str">
        <f t="shared" si="17"/>
        <v>NA</v>
      </c>
      <c r="Y34" s="1053"/>
    </row>
    <row r="35" spans="1:25" ht="13.5" customHeight="1" x14ac:dyDescent="0.35">
      <c r="A35" s="40">
        <v>34</v>
      </c>
      <c r="C35" s="1083" t="s">
        <v>223</v>
      </c>
      <c r="D35" s="1084"/>
      <c r="E35" s="216"/>
      <c r="F35" s="217"/>
      <c r="G35" s="217"/>
      <c r="H35" s="217"/>
      <c r="I35" s="217"/>
      <c r="J35" s="217"/>
      <c r="K35" s="217"/>
      <c r="L35" s="217"/>
      <c r="M35" s="217"/>
      <c r="N35" s="217"/>
      <c r="O35" s="208"/>
      <c r="P35" s="217" t="s">
        <v>781</v>
      </c>
      <c r="Q35" s="205">
        <v>0</v>
      </c>
      <c r="R35" s="205">
        <v>200</v>
      </c>
      <c r="S35" s="206">
        <f t="shared" si="15"/>
        <v>-200</v>
      </c>
      <c r="T35" s="207">
        <f t="shared" si="16"/>
        <v>-1</v>
      </c>
      <c r="V35" s="205">
        <v>0</v>
      </c>
      <c r="W35" s="205">
        <v>200</v>
      </c>
      <c r="X35" s="207">
        <f t="shared" si="17"/>
        <v>-1</v>
      </c>
      <c r="Y35" s="1053" t="s">
        <v>754</v>
      </c>
    </row>
    <row r="36" spans="1:25" ht="13.5" customHeight="1" x14ac:dyDescent="0.35">
      <c r="C36" s="1083" t="s">
        <v>100</v>
      </c>
      <c r="D36" s="1084"/>
      <c r="E36" s="216"/>
      <c r="F36" s="217"/>
      <c r="G36" s="217"/>
      <c r="H36" s="217"/>
      <c r="I36" s="217"/>
      <c r="J36" s="217"/>
      <c r="K36" s="217"/>
      <c r="L36" s="217"/>
      <c r="M36" s="217"/>
      <c r="N36" s="217"/>
      <c r="O36" s="208"/>
      <c r="P36" s="217" t="s">
        <v>783</v>
      </c>
      <c r="Q36" s="205">
        <v>500</v>
      </c>
      <c r="R36" s="205">
        <v>800</v>
      </c>
      <c r="S36" s="206">
        <f t="shared" si="15"/>
        <v>-300</v>
      </c>
      <c r="T36" s="207">
        <f>IF(R36=0,"NA",(+Q36-R36)/R36)</f>
        <v>-0.375</v>
      </c>
      <c r="V36" s="205">
        <v>465.7</v>
      </c>
      <c r="W36" s="205">
        <v>533.36</v>
      </c>
      <c r="X36" s="207">
        <f>IF(W36=0,"NA",(+V36-W36)/W36)</f>
        <v>-0.12685615719214044</v>
      </c>
      <c r="Y36" s="1053" t="s">
        <v>758</v>
      </c>
    </row>
    <row r="37" spans="1:25" s="2" customFormat="1" ht="13.5" customHeight="1" x14ac:dyDescent="0.35">
      <c r="A37" s="40">
        <v>36</v>
      </c>
      <c r="B37" s="1093" t="s">
        <v>14</v>
      </c>
      <c r="C37" s="1093"/>
      <c r="D37" s="1093"/>
      <c r="E37" s="59"/>
      <c r="F37" s="59"/>
      <c r="G37" s="59"/>
      <c r="H37" s="59"/>
      <c r="I37" s="59"/>
      <c r="J37" s="59"/>
      <c r="K37" s="59"/>
      <c r="L37" s="59"/>
      <c r="M37" s="59"/>
      <c r="N37" s="59"/>
      <c r="O37" s="34"/>
      <c r="P37" s="59"/>
      <c r="Q37" s="18">
        <f>SUM(Q31:Q36)</f>
        <v>2300</v>
      </c>
      <c r="R37" s="34">
        <f>SUM(R31:R36)</f>
        <v>3550</v>
      </c>
      <c r="S37" s="34">
        <f>SUM(S31:S36)</f>
        <v>-1250</v>
      </c>
      <c r="T37" s="19">
        <f t="shared" si="16"/>
        <v>-0.352112676056338</v>
      </c>
      <c r="U37" s="558"/>
      <c r="V37" s="34">
        <f>SUM(V31:V36)</f>
        <v>1105.6500000000001</v>
      </c>
      <c r="W37" s="34">
        <f>SUM(W31:W36)</f>
        <v>2427.8000000000002</v>
      </c>
      <c r="X37" s="19">
        <f t="shared" si="17"/>
        <v>-0.54458769256116646</v>
      </c>
      <c r="Y37" s="1054"/>
    </row>
    <row r="38" spans="1:25" ht="13.5" customHeight="1" x14ac:dyDescent="0.35">
      <c r="A38" s="40">
        <v>40</v>
      </c>
      <c r="B38" s="1077" t="s">
        <v>109</v>
      </c>
      <c r="T38" s="4"/>
    </row>
    <row r="39" spans="1:25" ht="13.5" customHeight="1" x14ac:dyDescent="0.35">
      <c r="A39" s="40">
        <v>41</v>
      </c>
      <c r="C39" s="1079" t="s">
        <v>15</v>
      </c>
      <c r="D39" s="1080"/>
      <c r="E39" s="336"/>
      <c r="F39" s="337"/>
      <c r="G39" s="337"/>
      <c r="H39" s="337"/>
      <c r="I39" s="337"/>
      <c r="J39" s="337"/>
      <c r="K39" s="337"/>
      <c r="L39" s="337"/>
      <c r="M39" s="337"/>
      <c r="N39" s="337"/>
      <c r="O39" s="334"/>
      <c r="P39" s="337" t="s">
        <v>785</v>
      </c>
      <c r="Q39" s="341">
        <v>4000</v>
      </c>
      <c r="R39" s="341">
        <v>3000</v>
      </c>
      <c r="S39" s="339">
        <f>+Q39-R39</f>
        <v>1000</v>
      </c>
      <c r="T39" s="340">
        <f t="shared" ref="T39:T44" si="18">IF(R39=0,"NA",(+Q39-R39)/R39)</f>
        <v>0.33333333333333331</v>
      </c>
      <c r="V39" s="338">
        <v>1848.34</v>
      </c>
      <c r="W39" s="338">
        <v>2000</v>
      </c>
      <c r="X39" s="340">
        <f t="shared" ref="X39:X44" si="19">IF(W39=0,"NA",(+V39-W39)/W39)</f>
        <v>-7.5830000000000036E-2</v>
      </c>
      <c r="Y39" s="1043"/>
    </row>
    <row r="40" spans="1:25" ht="13.5" customHeight="1" x14ac:dyDescent="0.35">
      <c r="A40" s="40">
        <v>44</v>
      </c>
      <c r="C40" s="1038" t="s">
        <v>17</v>
      </c>
      <c r="D40" s="1081"/>
      <c r="E40" s="213"/>
      <c r="F40" s="214"/>
      <c r="G40" s="214"/>
      <c r="H40" s="214"/>
      <c r="I40" s="214"/>
      <c r="J40" s="214"/>
      <c r="K40" s="214"/>
      <c r="L40" s="214"/>
      <c r="M40" s="214"/>
      <c r="N40" s="214"/>
      <c r="O40" s="204"/>
      <c r="P40" s="214" t="s">
        <v>786</v>
      </c>
      <c r="Q40" s="201">
        <v>100</v>
      </c>
      <c r="R40" s="201">
        <v>200</v>
      </c>
      <c r="S40" s="202">
        <f>+Q40-R40</f>
        <v>-100</v>
      </c>
      <c r="T40" s="203">
        <f t="shared" si="18"/>
        <v>-0.5</v>
      </c>
      <c r="V40" s="201">
        <v>2.5</v>
      </c>
      <c r="W40" s="201">
        <v>133.36000000000001</v>
      </c>
      <c r="X40" s="203">
        <f t="shared" si="19"/>
        <v>-0.98125374925014996</v>
      </c>
      <c r="Y40" s="1044"/>
    </row>
    <row r="41" spans="1:25" s="2" customFormat="1" ht="13.5" customHeight="1" x14ac:dyDescent="0.35">
      <c r="A41" s="40">
        <v>45</v>
      </c>
      <c r="B41" s="1093" t="s">
        <v>110</v>
      </c>
      <c r="C41" s="1093"/>
      <c r="D41" s="1093"/>
      <c r="E41" s="59"/>
      <c r="F41" s="59"/>
      <c r="G41" s="59"/>
      <c r="H41" s="59"/>
      <c r="I41" s="59"/>
      <c r="J41" s="59"/>
      <c r="K41" s="59"/>
      <c r="L41" s="59"/>
      <c r="M41" s="59"/>
      <c r="N41" s="59"/>
      <c r="O41" s="34"/>
      <c r="P41" s="59"/>
      <c r="Q41" s="18">
        <f>SUM(Q39:Q40)</f>
        <v>4100</v>
      </c>
      <c r="R41" s="34">
        <f>SUM(R39:R40)</f>
        <v>3200</v>
      </c>
      <c r="S41" s="34">
        <f>SUM(S39:S40)</f>
        <v>900</v>
      </c>
      <c r="T41" s="19">
        <f t="shared" si="18"/>
        <v>0.28125</v>
      </c>
      <c r="U41" s="558"/>
      <c r="V41" s="34">
        <f>SUM(V39:V40)</f>
        <v>1850.84</v>
      </c>
      <c r="W41" s="34">
        <f>SUM(W39:W40)</f>
        <v>2133.36</v>
      </c>
      <c r="X41" s="19">
        <f t="shared" si="19"/>
        <v>-0.1324295946300672</v>
      </c>
      <c r="Y41" s="1054"/>
    </row>
    <row r="42" spans="1:25" s="13" customFormat="1" ht="13.5" customHeight="1" x14ac:dyDescent="0.35">
      <c r="A42" s="1032">
        <v>51</v>
      </c>
      <c r="B42" s="1076" t="s">
        <v>18</v>
      </c>
      <c r="C42" s="1320"/>
      <c r="D42" s="1094"/>
      <c r="E42" s="54"/>
      <c r="F42" s="54"/>
      <c r="G42" s="54"/>
      <c r="H42" s="54"/>
      <c r="I42" s="54"/>
      <c r="J42" s="54"/>
      <c r="K42" s="54"/>
      <c r="L42" s="54"/>
      <c r="M42" s="54"/>
      <c r="N42" s="54"/>
      <c r="P42" s="53" t="s">
        <v>808</v>
      </c>
      <c r="Q42" s="50">
        <v>3000</v>
      </c>
      <c r="R42" s="50">
        <v>3000</v>
      </c>
      <c r="S42" s="254">
        <f>+Q42-R42</f>
        <v>0</v>
      </c>
      <c r="T42" s="1033">
        <f t="shared" si="18"/>
        <v>0</v>
      </c>
      <c r="U42" s="1028"/>
      <c r="V42" s="50">
        <v>1424.84</v>
      </c>
      <c r="W42" s="50">
        <v>2000</v>
      </c>
      <c r="X42" s="1033">
        <f t="shared" si="19"/>
        <v>-0.28758000000000006</v>
      </c>
      <c r="Y42" s="1055"/>
    </row>
    <row r="43" spans="1:25" s="13" customFormat="1" ht="13.5" customHeight="1" x14ac:dyDescent="0.35">
      <c r="A43" s="1032">
        <v>56</v>
      </c>
      <c r="B43" s="1153" t="s">
        <v>87</v>
      </c>
      <c r="C43" s="1035"/>
      <c r="D43" s="1095"/>
      <c r="E43" s="1034"/>
      <c r="F43" s="1034"/>
      <c r="G43" s="1034"/>
      <c r="H43" s="1034"/>
      <c r="I43" s="1034"/>
      <c r="J43" s="1034"/>
      <c r="K43" s="1034"/>
      <c r="L43" s="1034"/>
      <c r="M43" s="1034"/>
      <c r="N43" s="1034"/>
      <c r="O43" s="1035"/>
      <c r="P43" s="1266" t="s">
        <v>787</v>
      </c>
      <c r="Q43" s="218">
        <v>400</v>
      </c>
      <c r="R43" s="218">
        <v>400</v>
      </c>
      <c r="S43" s="234">
        <f>+Q43-R43</f>
        <v>0</v>
      </c>
      <c r="T43" s="1036">
        <f t="shared" si="18"/>
        <v>0</v>
      </c>
      <c r="U43" s="1028"/>
      <c r="V43" s="218">
        <v>62.94</v>
      </c>
      <c r="W43" s="218">
        <v>266.64</v>
      </c>
      <c r="X43" s="1036">
        <f t="shared" si="19"/>
        <v>-0.76395139513951393</v>
      </c>
      <c r="Y43" s="1038" t="s">
        <v>755</v>
      </c>
    </row>
    <row r="44" spans="1:25" s="46" customFormat="1" ht="13.5" customHeight="1" x14ac:dyDescent="0.35">
      <c r="A44" s="1032">
        <v>58</v>
      </c>
      <c r="B44" s="1153" t="s">
        <v>379</v>
      </c>
      <c r="C44" s="212"/>
      <c r="D44" s="1095"/>
      <c r="E44" s="213"/>
      <c r="F44" s="213"/>
      <c r="G44" s="213"/>
      <c r="H44" s="213"/>
      <c r="I44" s="213"/>
      <c r="J44" s="213"/>
      <c r="K44" s="213"/>
      <c r="L44" s="213"/>
      <c r="M44" s="213"/>
      <c r="N44" s="213"/>
      <c r="O44" s="212"/>
      <c r="P44" s="213" t="s">
        <v>783</v>
      </c>
      <c r="Q44" s="218">
        <v>250</v>
      </c>
      <c r="R44" s="218">
        <v>200</v>
      </c>
      <c r="S44" s="234">
        <f>+Q44-R44</f>
        <v>50</v>
      </c>
      <c r="T44" s="1037">
        <f t="shared" si="18"/>
        <v>0.25</v>
      </c>
      <c r="U44" s="335"/>
      <c r="V44" s="218">
        <v>125</v>
      </c>
      <c r="W44" s="218">
        <v>133.36000000000001</v>
      </c>
      <c r="X44" s="1037">
        <f t="shared" si="19"/>
        <v>-6.2687462507498598E-2</v>
      </c>
      <c r="Y44" s="1056" t="s">
        <v>721</v>
      </c>
    </row>
    <row r="45" spans="1:25" ht="13.5" customHeight="1" x14ac:dyDescent="0.35">
      <c r="A45" s="40">
        <v>60</v>
      </c>
      <c r="B45" s="1077" t="s">
        <v>20</v>
      </c>
      <c r="T45" s="4"/>
    </row>
    <row r="46" spans="1:25" ht="13.5" customHeight="1" x14ac:dyDescent="0.35">
      <c r="A46" s="40">
        <v>61</v>
      </c>
      <c r="C46" s="1088" t="s">
        <v>21</v>
      </c>
      <c r="D46" s="1089"/>
      <c r="E46" s="210"/>
      <c r="F46" s="211"/>
      <c r="G46" s="211"/>
      <c r="H46" s="211"/>
      <c r="I46" s="211"/>
      <c r="J46" s="211"/>
      <c r="K46" s="211"/>
      <c r="L46" s="211"/>
      <c r="M46" s="211"/>
      <c r="N46" s="211"/>
      <c r="O46" s="200"/>
      <c r="P46" s="211" t="s">
        <v>783</v>
      </c>
      <c r="Q46" s="220">
        <v>200</v>
      </c>
      <c r="R46" s="220">
        <v>200</v>
      </c>
      <c r="S46" s="198">
        <f t="shared" ref="S46:S54" si="20">+Q46-R46</f>
        <v>0</v>
      </c>
      <c r="T46" s="199">
        <f t="shared" ref="T46:T55" si="21">IF(R46=0,"NA",(+Q46-R46)/R46)</f>
        <v>0</v>
      </c>
      <c r="V46" s="197">
        <v>0</v>
      </c>
      <c r="W46" s="197">
        <v>0</v>
      </c>
      <c r="X46" s="199" t="str">
        <f t="shared" ref="X46:X55" si="22">IF(W46=0,"NA",(+V46-W46)/W46)</f>
        <v>NA</v>
      </c>
      <c r="Y46" s="1050" t="s">
        <v>774</v>
      </c>
    </row>
    <row r="47" spans="1:25" ht="13.5" customHeight="1" x14ac:dyDescent="0.35">
      <c r="C47" s="1079" t="s">
        <v>24</v>
      </c>
      <c r="D47" s="1080"/>
      <c r="E47" s="336"/>
      <c r="F47" s="337"/>
      <c r="G47" s="337"/>
      <c r="H47" s="337"/>
      <c r="I47" s="337"/>
      <c r="J47" s="337"/>
      <c r="K47" s="337"/>
      <c r="L47" s="337"/>
      <c r="M47" s="337"/>
      <c r="N47" s="337"/>
      <c r="O47" s="334"/>
      <c r="P47" s="211" t="s">
        <v>783</v>
      </c>
      <c r="Q47" s="220">
        <v>200</v>
      </c>
      <c r="R47" s="220">
        <v>400</v>
      </c>
      <c r="S47" s="198">
        <f t="shared" ref="S47" si="23">+Q47-R47</f>
        <v>-200</v>
      </c>
      <c r="T47" s="199">
        <f t="shared" ref="T47" si="24">IF(R47=0,"NA",(+Q47-R47)/R47)</f>
        <v>-0.5</v>
      </c>
      <c r="V47" s="197">
        <v>0</v>
      </c>
      <c r="W47" s="197">
        <v>266.64</v>
      </c>
      <c r="X47" s="199">
        <f t="shared" ref="X47" si="25">IF(W47=0,"NA",(+V47-W47)/W47)</f>
        <v>-1</v>
      </c>
      <c r="Y47" s="1050" t="s">
        <v>722</v>
      </c>
    </row>
    <row r="48" spans="1:25" ht="13.5" customHeight="1" x14ac:dyDescent="0.35">
      <c r="C48" s="1038" t="s">
        <v>633</v>
      </c>
      <c r="D48" s="1081"/>
      <c r="E48" s="336"/>
      <c r="F48" s="337"/>
      <c r="G48" s="337"/>
      <c r="H48" s="337"/>
      <c r="I48" s="337"/>
      <c r="J48" s="337"/>
      <c r="K48" s="337"/>
      <c r="L48" s="337"/>
      <c r="M48" s="337"/>
      <c r="N48" s="337"/>
      <c r="O48" s="334"/>
      <c r="P48" s="211" t="s">
        <v>788</v>
      </c>
      <c r="Q48" s="220">
        <v>500</v>
      </c>
      <c r="R48" s="220">
        <v>500</v>
      </c>
      <c r="S48" s="198">
        <f t="shared" ref="S48" si="26">+Q48-R48</f>
        <v>0</v>
      </c>
      <c r="T48" s="199">
        <f t="shared" ref="T48" si="27">IF(R48=0,"NA",(+Q48-R48)/R48)</f>
        <v>0</v>
      </c>
      <c r="V48" s="197">
        <v>0</v>
      </c>
      <c r="W48" s="197">
        <v>333.36</v>
      </c>
      <c r="X48" s="199">
        <f t="shared" ref="X48" si="28">IF(W48=0,"NA",(+V48-W48)/W48)</f>
        <v>-1</v>
      </c>
      <c r="Y48" s="1050" t="s">
        <v>636</v>
      </c>
    </row>
    <row r="49" spans="1:26" ht="13.5" customHeight="1" x14ac:dyDescent="0.35">
      <c r="C49" s="1083" t="s">
        <v>767</v>
      </c>
      <c r="D49" s="1084"/>
      <c r="E49" s="336"/>
      <c r="F49" s="337"/>
      <c r="G49" s="337"/>
      <c r="H49" s="337"/>
      <c r="I49" s="337"/>
      <c r="J49" s="337"/>
      <c r="K49" s="337"/>
      <c r="L49" s="337"/>
      <c r="M49" s="337"/>
      <c r="N49" s="337"/>
      <c r="O49" s="334"/>
      <c r="P49" s="211" t="s">
        <v>783</v>
      </c>
      <c r="Q49" s="220">
        <v>300</v>
      </c>
      <c r="R49" s="220">
        <v>0</v>
      </c>
      <c r="S49" s="198">
        <f t="shared" ref="S49" si="29">+Q49-R49</f>
        <v>300</v>
      </c>
      <c r="T49" s="199" t="str">
        <f t="shared" ref="T49" si="30">IF(R49=0,"NA",(+Q49-R49)/R49)</f>
        <v>NA</v>
      </c>
      <c r="V49" s="197">
        <v>0</v>
      </c>
      <c r="W49" s="197">
        <v>0</v>
      </c>
      <c r="X49" s="199" t="str">
        <f t="shared" ref="X49" si="31">IF(W49=0,"NA",(+V49-W49)/W49)</f>
        <v>NA</v>
      </c>
      <c r="Y49" s="1043" t="s">
        <v>768</v>
      </c>
    </row>
    <row r="50" spans="1:26" x14ac:dyDescent="0.35">
      <c r="C50" s="1083" t="s">
        <v>769</v>
      </c>
      <c r="D50" s="1084"/>
      <c r="E50" s="336"/>
      <c r="F50" s="337"/>
      <c r="G50" s="337"/>
      <c r="H50" s="337"/>
      <c r="I50" s="337"/>
      <c r="J50" s="337"/>
      <c r="K50" s="337"/>
      <c r="L50" s="337"/>
      <c r="M50" s="337"/>
      <c r="N50" s="337"/>
      <c r="O50" s="334"/>
      <c r="P50" s="211" t="s">
        <v>783</v>
      </c>
      <c r="Q50" s="220">
        <v>500</v>
      </c>
      <c r="R50" s="220">
        <v>0</v>
      </c>
      <c r="S50" s="198">
        <f t="shared" ref="S50" si="32">+Q50-R50</f>
        <v>500</v>
      </c>
      <c r="T50" s="199" t="str">
        <f t="shared" ref="T50" si="33">IF(R50=0,"NA",(+Q50-R50)/R50)</f>
        <v>NA</v>
      </c>
      <c r="V50" s="197">
        <v>0</v>
      </c>
      <c r="W50" s="197">
        <v>0</v>
      </c>
      <c r="X50" s="199" t="str">
        <f t="shared" ref="X50" si="34">IF(W50=0,"NA",(+V50-W50)/W50)</f>
        <v>NA</v>
      </c>
      <c r="Y50" s="1246" t="s">
        <v>770</v>
      </c>
    </row>
    <row r="51" spans="1:26" ht="13.5" customHeight="1" x14ac:dyDescent="0.35">
      <c r="C51" s="1083" t="s">
        <v>22</v>
      </c>
      <c r="D51" s="1084"/>
      <c r="E51" s="216"/>
      <c r="F51" s="217"/>
      <c r="G51" s="217"/>
      <c r="H51" s="217"/>
      <c r="I51" s="217"/>
      <c r="J51" s="217"/>
      <c r="K51" s="217"/>
      <c r="L51" s="217"/>
      <c r="M51" s="217"/>
      <c r="N51" s="217"/>
      <c r="O51" s="208"/>
      <c r="P51" s="217" t="s">
        <v>789</v>
      </c>
      <c r="Q51" s="219">
        <v>300</v>
      </c>
      <c r="R51" s="219">
        <v>300</v>
      </c>
      <c r="S51" s="206">
        <f>+Q51-R51</f>
        <v>0</v>
      </c>
      <c r="T51" s="207">
        <f>IF(R51=0,"NA",(+Q51-R51)/R51)</f>
        <v>0</v>
      </c>
      <c r="V51" s="205">
        <v>19.8</v>
      </c>
      <c r="W51" s="205">
        <v>0</v>
      </c>
      <c r="X51" s="207" t="str">
        <f>IF(W51=0,"NA",(+V51-W51)/W51)</f>
        <v>NA</v>
      </c>
      <c r="Y51" s="1053"/>
    </row>
    <row r="52" spans="1:26" ht="13.5" customHeight="1" x14ac:dyDescent="0.35">
      <c r="A52" s="40">
        <v>63</v>
      </c>
      <c r="C52" s="1083" t="s">
        <v>23</v>
      </c>
      <c r="D52" s="1084"/>
      <c r="E52" s="216"/>
      <c r="F52" s="217"/>
      <c r="G52" s="217"/>
      <c r="H52" s="217"/>
      <c r="I52" s="217"/>
      <c r="J52" s="217"/>
      <c r="K52" s="217"/>
      <c r="L52" s="217"/>
      <c r="M52" s="217"/>
      <c r="N52" s="217"/>
      <c r="O52" s="208"/>
      <c r="P52" s="217" t="s">
        <v>789</v>
      </c>
      <c r="Q52" s="219">
        <v>750</v>
      </c>
      <c r="R52" s="219">
        <v>500</v>
      </c>
      <c r="S52" s="206">
        <f t="shared" si="20"/>
        <v>250</v>
      </c>
      <c r="T52" s="207">
        <f t="shared" si="21"/>
        <v>0.5</v>
      </c>
      <c r="V52" s="205">
        <v>705</v>
      </c>
      <c r="W52" s="205">
        <v>500</v>
      </c>
      <c r="X52" s="207">
        <f t="shared" si="22"/>
        <v>0.41</v>
      </c>
      <c r="Y52" s="1053" t="s">
        <v>723</v>
      </c>
    </row>
    <row r="53" spans="1:26" ht="13.5" customHeight="1" x14ac:dyDescent="0.35">
      <c r="C53" s="1038" t="s">
        <v>227</v>
      </c>
      <c r="D53" s="1081"/>
      <c r="E53" s="213"/>
      <c r="F53" s="214"/>
      <c r="G53" s="214"/>
      <c r="H53" s="214"/>
      <c r="I53" s="214"/>
      <c r="J53" s="214"/>
      <c r="K53" s="214"/>
      <c r="L53" s="214"/>
      <c r="M53" s="214"/>
      <c r="N53" s="214"/>
      <c r="O53" s="204"/>
      <c r="P53" s="214" t="s">
        <v>807</v>
      </c>
      <c r="Q53" s="218">
        <v>700</v>
      </c>
      <c r="R53" s="218">
        <v>700</v>
      </c>
      <c r="S53" s="202">
        <f>+Q53-R53</f>
        <v>0</v>
      </c>
      <c r="T53" s="203">
        <f>IF(R53=0,"NA",(+Q53-R53)/R53)</f>
        <v>0</v>
      </c>
      <c r="V53" s="201">
        <v>491.61</v>
      </c>
      <c r="W53" s="201">
        <v>466.64</v>
      </c>
      <c r="X53" s="203">
        <f>IF(W53=0,"NA",(+V53-W53)/W53)</f>
        <v>5.3510200582890508E-2</v>
      </c>
      <c r="Y53" s="1212" t="s">
        <v>725</v>
      </c>
    </row>
    <row r="54" spans="1:26" ht="13.5" customHeight="1" x14ac:dyDescent="0.35">
      <c r="A54" s="40">
        <v>65</v>
      </c>
      <c r="C54" s="1083" t="s">
        <v>107</v>
      </c>
      <c r="D54" s="1084"/>
      <c r="E54" s="216"/>
      <c r="F54" s="217"/>
      <c r="G54" s="217"/>
      <c r="H54" s="217"/>
      <c r="I54" s="217"/>
      <c r="J54" s="217"/>
      <c r="K54" s="217"/>
      <c r="L54" s="217"/>
      <c r="M54" s="217"/>
      <c r="N54" s="217"/>
      <c r="O54" s="208"/>
      <c r="P54" s="217" t="s">
        <v>783</v>
      </c>
      <c r="Q54" s="219">
        <v>500</v>
      </c>
      <c r="R54" s="219">
        <v>1484</v>
      </c>
      <c r="S54" s="206">
        <f t="shared" si="20"/>
        <v>-984</v>
      </c>
      <c r="T54" s="207">
        <f t="shared" si="21"/>
        <v>-0.66307277628032346</v>
      </c>
      <c r="V54" s="219">
        <v>115</v>
      </c>
      <c r="W54" s="219">
        <v>989.36</v>
      </c>
      <c r="X54" s="207">
        <f t="shared" si="22"/>
        <v>-0.88376324088299507</v>
      </c>
      <c r="Y54" s="1043" t="s">
        <v>759</v>
      </c>
    </row>
    <row r="55" spans="1:26" s="2" customFormat="1" ht="13.5" customHeight="1" x14ac:dyDescent="0.35">
      <c r="A55" s="40">
        <v>66</v>
      </c>
      <c r="B55" s="1093" t="s">
        <v>25</v>
      </c>
      <c r="C55" s="1093"/>
      <c r="D55" s="1093"/>
      <c r="E55" s="59"/>
      <c r="F55" s="59"/>
      <c r="G55" s="59"/>
      <c r="H55" s="59"/>
      <c r="I55" s="59"/>
      <c r="J55" s="59"/>
      <c r="K55" s="59"/>
      <c r="L55" s="59"/>
      <c r="M55" s="59"/>
      <c r="N55" s="59"/>
      <c r="O55" s="34"/>
      <c r="P55" s="59"/>
      <c r="Q55" s="18">
        <f>SUM(Q46:Q54)</f>
        <v>3950</v>
      </c>
      <c r="R55" s="34">
        <f>SUM(R46:R54)</f>
        <v>4084</v>
      </c>
      <c r="S55" s="34">
        <f>SUM(S46:S54)</f>
        <v>-134</v>
      </c>
      <c r="T55" s="19">
        <f t="shared" si="21"/>
        <v>-3.2810969637610189E-2</v>
      </c>
      <c r="U55" s="558"/>
      <c r="V55" s="34">
        <f>SUM(V46:V54)</f>
        <v>1331.4099999999999</v>
      </c>
      <c r="W55" s="34">
        <f>SUM(W46:W54)</f>
        <v>2556</v>
      </c>
      <c r="X55" s="19">
        <f t="shared" si="22"/>
        <v>-0.47910406885759005</v>
      </c>
      <c r="Y55" s="1054"/>
    </row>
    <row r="56" spans="1:26" ht="13.5" customHeight="1" x14ac:dyDescent="0.35">
      <c r="A56" s="40">
        <v>68</v>
      </c>
      <c r="B56" s="1077" t="s">
        <v>26</v>
      </c>
      <c r="T56" s="4"/>
    </row>
    <row r="57" spans="1:26" ht="13.5" customHeight="1" x14ac:dyDescent="0.35">
      <c r="A57" s="40">
        <v>69</v>
      </c>
      <c r="C57" s="1088" t="s">
        <v>27</v>
      </c>
      <c r="D57" s="1089"/>
      <c r="E57" s="210"/>
      <c r="F57" s="211"/>
      <c r="G57" s="211"/>
      <c r="H57" s="211"/>
      <c r="I57" s="211"/>
      <c r="J57" s="211"/>
      <c r="K57" s="211"/>
      <c r="L57" s="211"/>
      <c r="M57" s="211"/>
      <c r="N57" s="211"/>
      <c r="O57" s="200"/>
      <c r="P57" s="211" t="s">
        <v>786</v>
      </c>
      <c r="Q57" s="220">
        <v>2000</v>
      </c>
      <c r="R57" s="220">
        <v>2000</v>
      </c>
      <c r="S57" s="198">
        <f t="shared" ref="S57:S62" si="35">+Q57-R57</f>
        <v>0</v>
      </c>
      <c r="T57" s="199">
        <f t="shared" ref="T57:T65" si="36">IF(R57=0,"NA",(+Q57-R57)/R57)</f>
        <v>0</v>
      </c>
      <c r="V57" s="197">
        <v>688.61</v>
      </c>
      <c r="W57" s="197">
        <v>1333.36</v>
      </c>
      <c r="X57" s="199">
        <f t="shared" ref="X57:X65" si="37">IF(W57=0,"NA",(+V57-W57)/W57)</f>
        <v>-0.48355282894342111</v>
      </c>
      <c r="Y57" s="1050"/>
    </row>
    <row r="58" spans="1:26" ht="13.5" customHeight="1" x14ac:dyDescent="0.35">
      <c r="A58" s="40">
        <v>70</v>
      </c>
      <c r="C58" s="1038" t="s">
        <v>28</v>
      </c>
      <c r="D58" s="1081"/>
      <c r="E58" s="213"/>
      <c r="F58" s="214"/>
      <c r="G58" s="214"/>
      <c r="H58" s="214"/>
      <c r="I58" s="214"/>
      <c r="J58" s="214"/>
      <c r="K58" s="214"/>
      <c r="L58" s="214"/>
      <c r="M58" s="214"/>
      <c r="N58" s="214"/>
      <c r="O58" s="204"/>
      <c r="P58" s="214" t="s">
        <v>786</v>
      </c>
      <c r="Q58" s="201">
        <v>2000</v>
      </c>
      <c r="R58" s="201">
        <v>2000</v>
      </c>
      <c r="S58" s="202">
        <f t="shared" si="35"/>
        <v>0</v>
      </c>
      <c r="T58" s="203">
        <f t="shared" si="36"/>
        <v>0</v>
      </c>
      <c r="V58" s="201">
        <v>680</v>
      </c>
      <c r="W58" s="201">
        <v>1333.36</v>
      </c>
      <c r="X58" s="203">
        <f t="shared" si="37"/>
        <v>-0.49001019979600402</v>
      </c>
      <c r="Y58" s="1050"/>
    </row>
    <row r="59" spans="1:26" ht="13.5" customHeight="1" x14ac:dyDescent="0.35">
      <c r="C59" s="1038" t="s">
        <v>599</v>
      </c>
      <c r="D59" s="1081"/>
      <c r="E59" s="213"/>
      <c r="F59" s="214"/>
      <c r="G59" s="214"/>
      <c r="H59" s="214"/>
      <c r="I59" s="214"/>
      <c r="J59" s="214"/>
      <c r="K59" s="214"/>
      <c r="L59" s="214"/>
      <c r="M59" s="214"/>
      <c r="N59" s="214"/>
      <c r="O59" s="204"/>
      <c r="P59" s="214" t="s">
        <v>787</v>
      </c>
      <c r="Q59" s="201">
        <v>10719</v>
      </c>
      <c r="R59" s="202">
        <f>+Technology!G16</f>
        <v>9500</v>
      </c>
      <c r="S59" s="202">
        <f t="shared" ref="S59" si="38">+Q59-R59</f>
        <v>1219</v>
      </c>
      <c r="T59" s="203">
        <f t="shared" ref="T59" si="39">IF(R59=0,"NA",(+Q59-R59)/R59)</f>
        <v>0.12831578947368422</v>
      </c>
      <c r="V59" s="201">
        <v>4660.21</v>
      </c>
      <c r="W59" s="201">
        <v>6333.36</v>
      </c>
      <c r="X59" s="203">
        <f t="shared" ref="X59" si="40">IF(W59=0,"NA",(+V59-W59)/W59)</f>
        <v>-0.26418046660856159</v>
      </c>
      <c r="Y59" s="1057"/>
    </row>
    <row r="60" spans="1:26" x14ac:dyDescent="0.35">
      <c r="A60" s="40">
        <v>73</v>
      </c>
      <c r="C60" s="1083" t="s">
        <v>29</v>
      </c>
      <c r="D60" s="1084"/>
      <c r="E60" s="216"/>
      <c r="F60" s="217"/>
      <c r="G60" s="217"/>
      <c r="H60" s="217"/>
      <c r="I60" s="217"/>
      <c r="J60" s="217"/>
      <c r="K60" s="217"/>
      <c r="L60" s="217"/>
      <c r="M60" s="217"/>
      <c r="N60" s="217"/>
      <c r="O60" s="208"/>
      <c r="P60" s="217" t="s">
        <v>786</v>
      </c>
      <c r="Q60" s="219">
        <f>8600-2706</f>
        <v>5894</v>
      </c>
      <c r="R60" s="219">
        <v>8659</v>
      </c>
      <c r="S60" s="206">
        <f t="shared" si="35"/>
        <v>-2765</v>
      </c>
      <c r="T60" s="207">
        <f t="shared" si="36"/>
        <v>-0.31932093775262732</v>
      </c>
      <c r="V60" s="219">
        <v>4889.7299999999996</v>
      </c>
      <c r="W60" s="205">
        <v>5772.64</v>
      </c>
      <c r="X60" s="207">
        <f t="shared" si="37"/>
        <v>-0.15294735164500137</v>
      </c>
      <c r="Y60" s="1058"/>
    </row>
    <row r="61" spans="1:26" ht="13.5" customHeight="1" x14ac:dyDescent="0.35">
      <c r="A61" s="40">
        <v>74</v>
      </c>
      <c r="C61" s="1038" t="s">
        <v>30</v>
      </c>
      <c r="D61" s="1081"/>
      <c r="E61" s="213"/>
      <c r="F61" s="214"/>
      <c r="G61" s="214"/>
      <c r="H61" s="214"/>
      <c r="I61" s="214"/>
      <c r="J61" s="214"/>
      <c r="K61" s="214"/>
      <c r="L61" s="214"/>
      <c r="M61" s="214"/>
      <c r="N61" s="214"/>
      <c r="O61" s="204"/>
      <c r="P61" s="214" t="s">
        <v>786</v>
      </c>
      <c r="Q61" s="218">
        <f>700</f>
        <v>700</v>
      </c>
      <c r="R61" s="218">
        <v>700</v>
      </c>
      <c r="S61" s="202">
        <f t="shared" si="35"/>
        <v>0</v>
      </c>
      <c r="T61" s="203">
        <f t="shared" si="36"/>
        <v>0</v>
      </c>
      <c r="V61" s="201">
        <v>540.54999999999995</v>
      </c>
      <c r="W61" s="201">
        <v>466.64</v>
      </c>
      <c r="X61" s="203">
        <f t="shared" si="37"/>
        <v>0.15838762214983707</v>
      </c>
      <c r="Y61" s="1044"/>
    </row>
    <row r="62" spans="1:26" ht="13.5" customHeight="1" thickBot="1" x14ac:dyDescent="0.4">
      <c r="A62" s="40">
        <v>75</v>
      </c>
      <c r="C62" s="1083" t="s">
        <v>31</v>
      </c>
      <c r="D62" s="1084"/>
      <c r="E62" s="1386" t="s">
        <v>119</v>
      </c>
      <c r="F62" s="1387"/>
      <c r="G62" s="1387"/>
      <c r="H62" s="1387"/>
      <c r="I62" s="1387"/>
      <c r="J62" s="1387"/>
      <c r="K62" s="1387"/>
      <c r="L62" s="1387"/>
      <c r="M62" s="1388"/>
      <c r="N62" s="331"/>
      <c r="O62" s="208"/>
      <c r="P62" s="217" t="s">
        <v>790</v>
      </c>
      <c r="Q62" s="219">
        <v>3000</v>
      </c>
      <c r="R62" s="219">
        <v>2000</v>
      </c>
      <c r="S62" s="206">
        <f t="shared" si="35"/>
        <v>1000</v>
      </c>
      <c r="T62" s="207">
        <f t="shared" si="36"/>
        <v>0.5</v>
      </c>
      <c r="V62" s="205">
        <v>2022.01</v>
      </c>
      <c r="W62" s="205">
        <v>1333.36</v>
      </c>
      <c r="X62" s="207">
        <f t="shared" si="37"/>
        <v>0.51647717045659103</v>
      </c>
      <c r="Y62" s="1053" t="s">
        <v>632</v>
      </c>
    </row>
    <row r="63" spans="1:26" ht="13.5" customHeight="1" thickBot="1" x14ac:dyDescent="0.4">
      <c r="C63" s="1083" t="s">
        <v>218</v>
      </c>
      <c r="D63" s="1084"/>
      <c r="E63" s="216"/>
      <c r="F63" s="217"/>
      <c r="G63" s="217"/>
      <c r="H63" s="217"/>
      <c r="I63" s="217"/>
      <c r="J63" s="217"/>
      <c r="K63" s="217"/>
      <c r="L63" s="217"/>
      <c r="M63" s="217"/>
      <c r="N63" s="217"/>
      <c r="O63" s="208"/>
      <c r="P63" s="217" t="s">
        <v>790</v>
      </c>
      <c r="Q63" s="219">
        <v>200</v>
      </c>
      <c r="R63" s="219">
        <f>1500-500</f>
        <v>1000</v>
      </c>
      <c r="S63" s="206">
        <f>+Q63-R63</f>
        <v>-800</v>
      </c>
      <c r="T63" s="207">
        <f>IF(R63=0,"NA",(+Q63-R63)/R63)</f>
        <v>-0.8</v>
      </c>
      <c r="V63" s="205">
        <v>0</v>
      </c>
      <c r="W63" s="205">
        <v>666.64</v>
      </c>
      <c r="X63" s="207">
        <f>IF(W63=0,"NA",(+V63-W63)/W63)</f>
        <v>-1</v>
      </c>
      <c r="Y63" s="1053" t="s">
        <v>637</v>
      </c>
    </row>
    <row r="64" spans="1:26" s="2" customFormat="1" ht="13.5" customHeight="1" x14ac:dyDescent="0.35">
      <c r="A64" s="40">
        <v>76</v>
      </c>
      <c r="B64" s="1093" t="s">
        <v>33</v>
      </c>
      <c r="C64" s="1093"/>
      <c r="D64" s="1093"/>
      <c r="E64" s="1384">
        <f>Bud_Yr</f>
        <v>2025</v>
      </c>
      <c r="F64" s="1385"/>
      <c r="G64" s="1385"/>
      <c r="H64" s="1385"/>
      <c r="I64" s="1385">
        <f>Bud_Yr-1</f>
        <v>2024</v>
      </c>
      <c r="J64" s="1385"/>
      <c r="K64" s="1385"/>
      <c r="L64" s="1385"/>
      <c r="M64" s="65">
        <f>Bud_Yr-2</f>
        <v>2023</v>
      </c>
      <c r="N64" s="332"/>
      <c r="O64" s="34"/>
      <c r="P64" s="59"/>
      <c r="Q64" s="18">
        <f>SUM(Q57:Q63)</f>
        <v>24513</v>
      </c>
      <c r="R64" s="34">
        <f>SUM(R57:R63)</f>
        <v>25859</v>
      </c>
      <c r="S64" s="34">
        <f>SUM(S57:S63)</f>
        <v>-1346</v>
      </c>
      <c r="T64" s="19">
        <f t="shared" si="36"/>
        <v>-5.2051510112533353E-2</v>
      </c>
      <c r="U64" s="558"/>
      <c r="V64" s="34">
        <f>SUM(V57:V63)</f>
        <v>13481.109999999999</v>
      </c>
      <c r="W64" s="34">
        <f>SUM(W57:W63)</f>
        <v>17239.36</v>
      </c>
      <c r="X64" s="19">
        <f t="shared" si="37"/>
        <v>-0.218004032632302</v>
      </c>
      <c r="Y64" s="1054"/>
      <c r="Z64" s="1"/>
    </row>
    <row r="65" spans="1:26" ht="17" customHeight="1" thickBot="1" x14ac:dyDescent="0.4">
      <c r="A65" s="40">
        <v>77</v>
      </c>
      <c r="B65" s="1093" t="s">
        <v>82</v>
      </c>
      <c r="C65" s="1096"/>
      <c r="D65" s="1096"/>
      <c r="E65" s="66" t="s">
        <v>117</v>
      </c>
      <c r="F65" s="67" t="s">
        <v>118</v>
      </c>
      <c r="G65" s="67" t="s">
        <v>121</v>
      </c>
      <c r="H65" s="67" t="s">
        <v>116</v>
      </c>
      <c r="I65" s="67" t="s">
        <v>117</v>
      </c>
      <c r="J65" s="67" t="s">
        <v>118</v>
      </c>
      <c r="K65" s="67" t="s">
        <v>121</v>
      </c>
      <c r="L65" s="67" t="s">
        <v>116</v>
      </c>
      <c r="M65" s="68" t="s">
        <v>118</v>
      </c>
      <c r="N65" s="333"/>
      <c r="O65" s="21"/>
      <c r="P65" s="1264"/>
      <c r="Q65" s="18">
        <f>+Q37+Q41+Q42+Q44+Q55+Q64+Q43</f>
        <v>38513</v>
      </c>
      <c r="R65" s="34">
        <f>+R37+R41+R42+R44+R55+R64+R43</f>
        <v>40293</v>
      </c>
      <c r="S65" s="34">
        <f>+S37+S41+S42+S44+S55+S64+S43</f>
        <v>-1780</v>
      </c>
      <c r="T65" s="19">
        <f t="shared" si="36"/>
        <v>-4.4176407812771448E-2</v>
      </c>
      <c r="V65" s="34">
        <f>+V37+V41+V42+V44+V55+V64+V43</f>
        <v>19381.789999999997</v>
      </c>
      <c r="W65" s="34">
        <f>+W37+W41+W42+W44+W55+W64+W43</f>
        <v>26756.52</v>
      </c>
      <c r="X65" s="19">
        <f t="shared" si="37"/>
        <v>-0.27562366107401126</v>
      </c>
      <c r="Y65" s="1054"/>
    </row>
    <row r="66" spans="1:26" ht="17" customHeight="1" x14ac:dyDescent="0.35">
      <c r="A66" s="40">
        <v>79</v>
      </c>
      <c r="B66" s="1087" t="s">
        <v>32</v>
      </c>
      <c r="F66" s="60">
        <v>0.03</v>
      </c>
      <c r="G66" s="1389" t="s">
        <v>94</v>
      </c>
      <c r="H66" s="1389"/>
      <c r="J66" s="1397" t="s">
        <v>130</v>
      </c>
      <c r="K66" s="1397"/>
      <c r="L66" s="60">
        <v>0.01</v>
      </c>
      <c r="O66" s="1370" t="s">
        <v>90</v>
      </c>
      <c r="P66" s="1247"/>
      <c r="T66" s="4"/>
    </row>
    <row r="67" spans="1:26" ht="13.5" customHeight="1" outlineLevel="1" x14ac:dyDescent="0.35">
      <c r="A67" s="40">
        <v>80</v>
      </c>
      <c r="B67" s="1097" t="s">
        <v>717</v>
      </c>
      <c r="D67" s="1098" t="s">
        <v>597</v>
      </c>
      <c r="F67" s="60">
        <v>0</v>
      </c>
      <c r="G67" s="1389" t="s">
        <v>95</v>
      </c>
      <c r="H67" s="1389"/>
      <c r="K67" s="1197"/>
      <c r="O67" s="1370"/>
      <c r="P67" s="1247"/>
      <c r="S67" s="93"/>
      <c r="T67" s="4"/>
      <c r="V67" s="94"/>
      <c r="W67" s="33"/>
    </row>
    <row r="68" spans="1:26" ht="13.5" customHeight="1" outlineLevel="1" x14ac:dyDescent="0.35">
      <c r="C68" s="1079" t="s">
        <v>131</v>
      </c>
      <c r="D68" s="1080"/>
      <c r="E68" s="336"/>
      <c r="F68" s="756"/>
      <c r="G68" s="757"/>
      <c r="H68" s="97"/>
      <c r="I68" s="98"/>
      <c r="J68" s="336"/>
      <c r="K68" s="98"/>
      <c r="L68" s="758"/>
      <c r="M68" s="101"/>
      <c r="N68" s="101"/>
      <c r="O68" s="335"/>
      <c r="P68" s="336"/>
      <c r="Q68" s="714">
        <f>+John!F8</f>
        <v>76164</v>
      </c>
      <c r="R68" s="714">
        <f>+John!D8</f>
        <v>73310</v>
      </c>
      <c r="S68" s="339">
        <f>+Q68-R68</f>
        <v>2854</v>
      </c>
      <c r="T68" s="340">
        <f>IF(R68=0,"NA",(+Q68-R68)/R68)</f>
        <v>3.8930568817350977E-2</v>
      </c>
      <c r="V68" s="338">
        <f>34740+14133.36</f>
        <v>48873.36</v>
      </c>
      <c r="W68" s="338">
        <f>34740+14133.36</f>
        <v>48873.36</v>
      </c>
      <c r="X68" s="340">
        <f>IF(W68=0,"NA",(+V68-W68)/W68)</f>
        <v>0</v>
      </c>
      <c r="Y68" s="1043"/>
    </row>
    <row r="69" spans="1:26" ht="13.5" customHeight="1" outlineLevel="1" x14ac:dyDescent="0.35">
      <c r="A69" s="40">
        <v>82</v>
      </c>
      <c r="C69" s="1038" t="s">
        <v>34</v>
      </c>
      <c r="D69" s="1081"/>
      <c r="E69" s="213"/>
      <c r="F69" s="227"/>
      <c r="G69" s="228"/>
      <c r="H69" s="229"/>
      <c r="I69" s="230"/>
      <c r="J69" s="213"/>
      <c r="K69" s="231"/>
      <c r="L69" s="213"/>
      <c r="M69" s="232"/>
      <c r="N69" s="232"/>
      <c r="O69" s="233"/>
      <c r="P69" s="1265"/>
      <c r="Q69" s="234">
        <f>+John!F26</f>
        <v>1500</v>
      </c>
      <c r="R69" s="234">
        <f>+John!D26</f>
        <v>1500</v>
      </c>
      <c r="S69" s="202">
        <f t="shared" ref="S69:S75" si="41">+Q69-R69</f>
        <v>0</v>
      </c>
      <c r="T69" s="203">
        <f t="shared" ref="T69:T76" si="42">IF(R69=0,"NA",(+Q69-R69)/R69)</f>
        <v>0</v>
      </c>
      <c r="V69" s="201">
        <v>0</v>
      </c>
      <c r="W69" s="201">
        <v>1000</v>
      </c>
      <c r="X69" s="203">
        <f t="shared" ref="X69:X76" si="43">IF(W69=0,"NA",(+V69-W69)/W69)</f>
        <v>-1</v>
      </c>
      <c r="Y69" s="1044"/>
    </row>
    <row r="70" spans="1:26" ht="13.5" customHeight="1" outlineLevel="1" x14ac:dyDescent="0.35">
      <c r="C70" s="1038" t="s">
        <v>596</v>
      </c>
      <c r="D70" s="1081"/>
      <c r="E70" s="213"/>
      <c r="F70" s="227"/>
      <c r="G70" s="228"/>
      <c r="H70" s="213"/>
      <c r="I70" s="213"/>
      <c r="J70" s="229"/>
      <c r="K70" s="213"/>
      <c r="L70" s="213"/>
      <c r="M70" s="213"/>
      <c r="N70" s="213"/>
      <c r="O70" s="233"/>
      <c r="P70" s="1265"/>
      <c r="Q70" s="234">
        <f>+John!F12</f>
        <v>6252</v>
      </c>
      <c r="R70" s="234">
        <f>+John!D12</f>
        <v>5836</v>
      </c>
      <c r="S70" s="202">
        <f t="shared" si="41"/>
        <v>416</v>
      </c>
      <c r="T70" s="203">
        <f t="shared" si="42"/>
        <v>7.1281699794379719E-2</v>
      </c>
      <c r="V70" s="201">
        <v>3889.42</v>
      </c>
      <c r="W70" s="201">
        <v>3889.36</v>
      </c>
      <c r="X70" s="203">
        <f t="shared" si="43"/>
        <v>1.5426702593728898E-5</v>
      </c>
      <c r="Y70" s="1044"/>
    </row>
    <row r="71" spans="1:26" ht="13.5" customHeight="1" outlineLevel="1" x14ac:dyDescent="0.35">
      <c r="C71" s="1038" t="s">
        <v>127</v>
      </c>
      <c r="D71" s="1081"/>
      <c r="E71" s="213"/>
      <c r="F71" s="235"/>
      <c r="G71" s="213"/>
      <c r="H71" s="236"/>
      <c r="I71" s="213"/>
      <c r="J71" s="213"/>
      <c r="K71" s="213"/>
      <c r="L71" s="213"/>
      <c r="M71" s="213"/>
      <c r="N71" s="213"/>
      <c r="O71" s="237"/>
      <c r="P71" s="1266"/>
      <c r="Q71" s="234">
        <f>+John!F16</f>
        <v>8798</v>
      </c>
      <c r="R71" s="234">
        <f>+John!D16</f>
        <v>8212</v>
      </c>
      <c r="S71" s="202">
        <f>+Q71-R71</f>
        <v>586</v>
      </c>
      <c r="T71" s="203">
        <f t="shared" si="42"/>
        <v>7.1358986848514369E-2</v>
      </c>
      <c r="V71" s="201">
        <v>5473.2</v>
      </c>
      <c r="W71" s="218">
        <v>5473.36</v>
      </c>
      <c r="X71" s="203">
        <f t="shared" si="43"/>
        <v>-2.9232500694245305E-5</v>
      </c>
      <c r="Y71" s="1044"/>
      <c r="Z71" s="2"/>
    </row>
    <row r="72" spans="1:26" ht="13.5" customHeight="1" outlineLevel="1" x14ac:dyDescent="0.35">
      <c r="A72" s="40">
        <v>83</v>
      </c>
      <c r="C72" s="1038" t="s">
        <v>128</v>
      </c>
      <c r="D72" s="1081"/>
      <c r="E72" s="232"/>
      <c r="F72" s="238"/>
      <c r="G72" s="232"/>
      <c r="H72" s="238"/>
      <c r="I72" s="232"/>
      <c r="J72" s="238"/>
      <c r="K72" s="239"/>
      <c r="L72" s="213"/>
      <c r="M72" s="213"/>
      <c r="N72" s="213"/>
      <c r="O72" s="237"/>
      <c r="P72" s="1266"/>
      <c r="Q72" s="234">
        <f>+John!F23</f>
        <v>1499</v>
      </c>
      <c r="R72" s="234">
        <f>+John!D23</f>
        <v>1399</v>
      </c>
      <c r="S72" s="202">
        <f t="shared" si="41"/>
        <v>100</v>
      </c>
      <c r="T72" s="203">
        <f t="shared" si="42"/>
        <v>7.147962830593281E-2</v>
      </c>
      <c r="V72" s="201">
        <v>547.36</v>
      </c>
      <c r="W72" s="218">
        <v>932.64</v>
      </c>
      <c r="X72" s="203">
        <f t="shared" si="43"/>
        <v>-0.41310687939612278</v>
      </c>
      <c r="Y72" s="1044"/>
    </row>
    <row r="73" spans="1:26" ht="13.5" customHeight="1" outlineLevel="1" x14ac:dyDescent="0.35">
      <c r="C73" s="1038" t="s">
        <v>99</v>
      </c>
      <c r="D73" s="1081"/>
      <c r="E73" s="213"/>
      <c r="F73" s="213"/>
      <c r="G73" s="213"/>
      <c r="H73" s="213"/>
      <c r="I73" s="213"/>
      <c r="J73" s="213"/>
      <c r="K73" s="213"/>
      <c r="L73" s="213"/>
      <c r="M73" s="213"/>
      <c r="N73" s="213"/>
      <c r="O73" s="237"/>
      <c r="P73" s="1266"/>
      <c r="Q73" s="234">
        <f>+John!F28</f>
        <v>600</v>
      </c>
      <c r="R73" s="234">
        <f>+John!D28</f>
        <v>600</v>
      </c>
      <c r="S73" s="202">
        <f t="shared" si="41"/>
        <v>0</v>
      </c>
      <c r="T73" s="203">
        <f t="shared" si="42"/>
        <v>0</v>
      </c>
      <c r="V73" s="201">
        <v>466</v>
      </c>
      <c r="W73" s="201">
        <v>400</v>
      </c>
      <c r="X73" s="203">
        <f t="shared" si="43"/>
        <v>0.16500000000000001</v>
      </c>
      <c r="Y73" s="1044"/>
    </row>
    <row r="74" spans="1:26" ht="13.5" customHeight="1" outlineLevel="1" x14ac:dyDescent="0.35">
      <c r="C74" s="1038" t="s">
        <v>732</v>
      </c>
      <c r="D74" s="1081"/>
      <c r="E74" s="213"/>
      <c r="F74" s="214"/>
      <c r="G74" s="214"/>
      <c r="H74" s="214"/>
      <c r="I74" s="214"/>
      <c r="J74" s="214"/>
      <c r="K74" s="214"/>
      <c r="L74" s="214"/>
      <c r="M74" s="214"/>
      <c r="N74" s="214"/>
      <c r="O74" s="240"/>
      <c r="P74" s="1267"/>
      <c r="Q74" s="234">
        <f>+John!F9</f>
        <v>5559.11</v>
      </c>
      <c r="R74" s="234">
        <f>+John!D9</f>
        <v>2977</v>
      </c>
      <c r="S74" s="202">
        <f>+Q74-R74</f>
        <v>2582.1099999999997</v>
      </c>
      <c r="T74" s="203">
        <f t="shared" si="42"/>
        <v>0.86735303997312718</v>
      </c>
      <c r="V74" s="201">
        <v>1969.42</v>
      </c>
      <c r="W74" s="201">
        <v>1969.36</v>
      </c>
      <c r="X74" s="203">
        <f t="shared" si="43"/>
        <v>3.0466750619578344E-5</v>
      </c>
      <c r="Y74" s="1059"/>
    </row>
    <row r="75" spans="1:26" ht="13.5" customHeight="1" outlineLevel="1" x14ac:dyDescent="0.35">
      <c r="A75" s="40">
        <v>85</v>
      </c>
      <c r="C75" s="1083" t="s">
        <v>35</v>
      </c>
      <c r="D75" s="1084"/>
      <c r="E75" s="216"/>
      <c r="F75" s="217"/>
      <c r="G75" s="217"/>
      <c r="H75" s="217"/>
      <c r="I75" s="217"/>
      <c r="J75" s="217"/>
      <c r="K75" s="217"/>
      <c r="L75" s="217"/>
      <c r="M75" s="217"/>
      <c r="N75" s="217"/>
      <c r="O75" s="241"/>
      <c r="P75" s="1268"/>
      <c r="Q75" s="242">
        <f>+John!F27</f>
        <v>1300</v>
      </c>
      <c r="R75" s="242">
        <f>+John!D27</f>
        <v>1300</v>
      </c>
      <c r="S75" s="206">
        <f t="shared" si="41"/>
        <v>0</v>
      </c>
      <c r="T75" s="207">
        <f t="shared" si="42"/>
        <v>0</v>
      </c>
      <c r="V75" s="205">
        <v>0</v>
      </c>
      <c r="W75" s="205">
        <v>866.64</v>
      </c>
      <c r="X75" s="207">
        <f t="shared" si="43"/>
        <v>-1</v>
      </c>
      <c r="Y75" s="1053"/>
    </row>
    <row r="76" spans="1:26" s="2" customFormat="1" ht="13.5" customHeight="1" outlineLevel="1" x14ac:dyDescent="0.35">
      <c r="A76" s="40">
        <v>86</v>
      </c>
      <c r="B76" s="1099" t="s">
        <v>112</v>
      </c>
      <c r="C76" s="1099"/>
      <c r="D76" s="1099"/>
      <c r="E76" s="61"/>
      <c r="F76" s="61"/>
      <c r="G76" s="61"/>
      <c r="H76" s="61"/>
      <c r="I76" s="61"/>
      <c r="J76" s="61"/>
      <c r="K76" s="61"/>
      <c r="L76" s="61"/>
      <c r="M76" s="61"/>
      <c r="N76" s="61"/>
      <c r="O76" s="22"/>
      <c r="P76" s="61"/>
      <c r="Q76" s="22">
        <f>SUM(Q68:Q75)</f>
        <v>101672.11</v>
      </c>
      <c r="R76" s="22">
        <f>SUM(R68:R75)</f>
        <v>95134</v>
      </c>
      <c r="S76" s="22">
        <f>SUM(S68:S75)</f>
        <v>6538.11</v>
      </c>
      <c r="T76" s="23">
        <f t="shared" si="42"/>
        <v>6.8725271721992137E-2</v>
      </c>
      <c r="U76" s="558"/>
      <c r="V76" s="22">
        <f>SUM(V68:V75)</f>
        <v>61218.759999999995</v>
      </c>
      <c r="W76" s="22">
        <f>SUM(W68:W75)</f>
        <v>63404.72</v>
      </c>
      <c r="X76" s="23">
        <f t="shared" si="43"/>
        <v>-3.4476297663644066E-2</v>
      </c>
      <c r="Y76" s="1060"/>
      <c r="Z76" s="1"/>
    </row>
    <row r="77" spans="1:26" ht="13.5" customHeight="1" outlineLevel="1" x14ac:dyDescent="0.35">
      <c r="A77" s="40">
        <v>80</v>
      </c>
      <c r="B77" s="1077" t="s">
        <v>718</v>
      </c>
      <c r="D77" s="1078" t="s">
        <v>728</v>
      </c>
      <c r="F77" s="367"/>
      <c r="G77" s="1392"/>
      <c r="H77" s="1392"/>
      <c r="S77" s="93"/>
      <c r="T77" s="36"/>
      <c r="V77" s="94"/>
      <c r="W77" s="33"/>
      <c r="X77" s="36"/>
    </row>
    <row r="78" spans="1:26" ht="13.5" customHeight="1" outlineLevel="1" x14ac:dyDescent="0.35">
      <c r="A78" s="40">
        <v>81</v>
      </c>
      <c r="C78" s="1088" t="s">
        <v>131</v>
      </c>
      <c r="D78" s="1089"/>
      <c r="E78" s="210"/>
      <c r="F78" s="221"/>
      <c r="G78" s="297"/>
      <c r="H78" s="222"/>
      <c r="I78" s="223"/>
      <c r="J78" s="210"/>
      <c r="K78" s="223"/>
      <c r="L78" s="224"/>
      <c r="M78" s="225"/>
      <c r="N78" s="225"/>
      <c r="O78" s="209"/>
      <c r="P78" s="210"/>
      <c r="Q78" s="1213">
        <f>+Ryan!D8</f>
        <v>73310</v>
      </c>
      <c r="R78" s="220">
        <v>0</v>
      </c>
      <c r="S78" s="198">
        <f t="shared" ref="S78:S85" si="44">+Q78-R78</f>
        <v>73310</v>
      </c>
      <c r="T78" s="199" t="str">
        <f t="shared" ref="T78:T86" si="45">IF(R78=0,"NA",(+Q78-R78)/R78)</f>
        <v>NA</v>
      </c>
      <c r="V78" s="197">
        <v>0</v>
      </c>
      <c r="W78" s="197">
        <v>0</v>
      </c>
      <c r="X78" s="199" t="str">
        <f t="shared" ref="X78:X86" si="46">IF(W78=0,"NA",(+V78-W78)/W78)</f>
        <v>NA</v>
      </c>
      <c r="Y78" s="1050" t="s">
        <v>600</v>
      </c>
    </row>
    <row r="79" spans="1:26" ht="13.5" customHeight="1" outlineLevel="1" x14ac:dyDescent="0.35">
      <c r="A79" s="40">
        <v>82</v>
      </c>
      <c r="C79" s="1038" t="s">
        <v>34</v>
      </c>
      <c r="D79" s="1081"/>
      <c r="E79" s="213"/>
      <c r="F79" s="227"/>
      <c r="G79" s="228"/>
      <c r="H79" s="229"/>
      <c r="I79" s="230"/>
      <c r="J79" s="213"/>
      <c r="K79" s="231"/>
      <c r="L79" s="213"/>
      <c r="M79" s="232"/>
      <c r="N79" s="232"/>
      <c r="O79" s="233"/>
      <c r="P79" s="1269"/>
      <c r="Q79" s="1213">
        <f>+Ryan!D26</f>
        <v>1500</v>
      </c>
      <c r="R79" s="220">
        <v>0</v>
      </c>
      <c r="S79" s="202">
        <f t="shared" si="44"/>
        <v>1500</v>
      </c>
      <c r="T79" s="203" t="str">
        <f t="shared" si="45"/>
        <v>NA</v>
      </c>
      <c r="V79" s="201">
        <v>0</v>
      </c>
      <c r="W79" s="201">
        <v>0</v>
      </c>
      <c r="X79" s="203" t="str">
        <f t="shared" si="46"/>
        <v>NA</v>
      </c>
      <c r="Y79" s="1044"/>
    </row>
    <row r="80" spans="1:26" ht="13.5" customHeight="1" outlineLevel="1" x14ac:dyDescent="0.35">
      <c r="C80" s="1038" t="s">
        <v>233</v>
      </c>
      <c r="D80" s="1081"/>
      <c r="E80" s="213"/>
      <c r="F80" s="227"/>
      <c r="G80" s="228"/>
      <c r="H80" s="213"/>
      <c r="I80" s="213"/>
      <c r="J80" s="229"/>
      <c r="K80" s="213"/>
      <c r="L80" s="213"/>
      <c r="M80" s="213"/>
      <c r="N80" s="213"/>
      <c r="O80" s="233"/>
      <c r="P80" s="1269"/>
      <c r="Q80" s="1213">
        <f>+Ryan!D12</f>
        <v>5838</v>
      </c>
      <c r="R80" s="220">
        <v>0</v>
      </c>
      <c r="S80" s="202">
        <f t="shared" si="44"/>
        <v>5838</v>
      </c>
      <c r="T80" s="203" t="str">
        <f t="shared" si="45"/>
        <v>NA</v>
      </c>
      <c r="V80" s="201">
        <v>0</v>
      </c>
      <c r="W80" s="201">
        <v>0</v>
      </c>
      <c r="X80" s="203" t="str">
        <f t="shared" si="46"/>
        <v>NA</v>
      </c>
      <c r="Y80" s="1044"/>
    </row>
    <row r="81" spans="1:26" ht="13.5" customHeight="1" outlineLevel="1" x14ac:dyDescent="0.35">
      <c r="C81" s="1038" t="s">
        <v>127</v>
      </c>
      <c r="D81" s="1081"/>
      <c r="E81" s="213"/>
      <c r="F81" s="235"/>
      <c r="G81" s="213"/>
      <c r="H81" s="236"/>
      <c r="I81" s="213"/>
      <c r="J81" s="213"/>
      <c r="K81" s="213"/>
      <c r="L81" s="213"/>
      <c r="M81" s="213"/>
      <c r="N81" s="213"/>
      <c r="O81" s="237"/>
      <c r="P81" s="1270"/>
      <c r="Q81" s="1213">
        <f>+Ryan!D16</f>
        <v>8215</v>
      </c>
      <c r="R81" s="220">
        <v>0</v>
      </c>
      <c r="S81" s="202">
        <f t="shared" si="44"/>
        <v>8215</v>
      </c>
      <c r="T81" s="203" t="str">
        <f t="shared" si="45"/>
        <v>NA</v>
      </c>
      <c r="V81" s="201">
        <v>0</v>
      </c>
      <c r="W81" s="218">
        <v>0</v>
      </c>
      <c r="X81" s="203" t="str">
        <f t="shared" si="46"/>
        <v>NA</v>
      </c>
      <c r="Y81" s="1044"/>
    </row>
    <row r="82" spans="1:26" ht="13.5" customHeight="1" outlineLevel="1" x14ac:dyDescent="0.35">
      <c r="A82" s="40">
        <v>83</v>
      </c>
      <c r="C82" s="1038" t="s">
        <v>128</v>
      </c>
      <c r="D82" s="1081"/>
      <c r="E82" s="232"/>
      <c r="F82" s="238"/>
      <c r="G82" s="232"/>
      <c r="H82" s="238"/>
      <c r="I82" s="232"/>
      <c r="J82" s="238"/>
      <c r="K82" s="239"/>
      <c r="L82" s="213"/>
      <c r="M82" s="213"/>
      <c r="N82" s="213"/>
      <c r="O82" s="237"/>
      <c r="P82" s="1270"/>
      <c r="Q82" s="1213">
        <f>+Ryan!D23</f>
        <v>1399</v>
      </c>
      <c r="R82" s="220">
        <v>0</v>
      </c>
      <c r="S82" s="202">
        <f t="shared" si="44"/>
        <v>1399</v>
      </c>
      <c r="T82" s="203" t="str">
        <f t="shared" si="45"/>
        <v>NA</v>
      </c>
      <c r="V82" s="201">
        <v>0</v>
      </c>
      <c r="W82" s="218">
        <v>0</v>
      </c>
      <c r="X82" s="203" t="str">
        <f t="shared" si="46"/>
        <v>NA</v>
      </c>
      <c r="Y82" s="1044"/>
    </row>
    <row r="83" spans="1:26" ht="13.5" customHeight="1" outlineLevel="1" x14ac:dyDescent="0.35">
      <c r="C83" s="1038" t="s">
        <v>99</v>
      </c>
      <c r="D83" s="1081"/>
      <c r="E83" s="213"/>
      <c r="F83" s="213"/>
      <c r="G83" s="213"/>
      <c r="H83" s="213"/>
      <c r="I83" s="213"/>
      <c r="J83" s="213"/>
      <c r="K83" s="213"/>
      <c r="L83" s="213"/>
      <c r="M83" s="213"/>
      <c r="N83" s="213"/>
      <c r="O83" s="237"/>
      <c r="P83" s="1270"/>
      <c r="Q83" s="1213">
        <f>+Ryan!D28</f>
        <v>600</v>
      </c>
      <c r="R83" s="220">
        <v>0</v>
      </c>
      <c r="S83" s="202">
        <f t="shared" si="44"/>
        <v>600</v>
      </c>
      <c r="T83" s="203" t="str">
        <f t="shared" si="45"/>
        <v>NA</v>
      </c>
      <c r="V83" s="201">
        <v>0</v>
      </c>
      <c r="W83" s="201">
        <v>0</v>
      </c>
      <c r="X83" s="203" t="str">
        <f t="shared" si="46"/>
        <v>NA</v>
      </c>
      <c r="Y83" s="1044"/>
    </row>
    <row r="84" spans="1:26" ht="13.5" customHeight="1" outlineLevel="1" x14ac:dyDescent="0.35">
      <c r="C84" s="1038" t="s">
        <v>732</v>
      </c>
      <c r="D84" s="1081"/>
      <c r="E84" s="213"/>
      <c r="F84" s="214"/>
      <c r="G84" s="214"/>
      <c r="H84" s="214"/>
      <c r="I84" s="214"/>
      <c r="J84" s="214"/>
      <c r="K84" s="214"/>
      <c r="L84" s="214"/>
      <c r="M84" s="214"/>
      <c r="N84" s="214"/>
      <c r="O84" s="240"/>
      <c r="P84" s="1267"/>
      <c r="Q84" s="237">
        <f>+Ryan!B9</f>
        <v>3000</v>
      </c>
      <c r="R84" s="220">
        <v>0</v>
      </c>
      <c r="S84" s="202">
        <f>+Q84-R84</f>
        <v>3000</v>
      </c>
      <c r="T84" s="203" t="str">
        <f t="shared" si="45"/>
        <v>NA</v>
      </c>
      <c r="V84" s="201">
        <v>0</v>
      </c>
      <c r="W84" s="201">
        <v>0</v>
      </c>
      <c r="X84" s="203" t="str">
        <f t="shared" si="46"/>
        <v>NA</v>
      </c>
      <c r="Y84" s="1059"/>
    </row>
    <row r="85" spans="1:26" ht="13.5" customHeight="1" outlineLevel="1" x14ac:dyDescent="0.35">
      <c r="A85" s="40">
        <v>85</v>
      </c>
      <c r="C85" s="1038" t="s">
        <v>35</v>
      </c>
      <c r="D85" s="1081"/>
      <c r="E85" s="213"/>
      <c r="F85" s="214"/>
      <c r="G85" s="214"/>
      <c r="H85" s="214"/>
      <c r="I85" s="214"/>
      <c r="J85" s="214"/>
      <c r="K85" s="214"/>
      <c r="L85" s="214"/>
      <c r="M85" s="214"/>
      <c r="N85" s="214"/>
      <c r="O85" s="243"/>
      <c r="P85" s="1271"/>
      <c r="Q85" s="1213">
        <f>+Ryan!D27</f>
        <v>1300</v>
      </c>
      <c r="R85" s="220">
        <v>0</v>
      </c>
      <c r="S85" s="202">
        <f t="shared" si="44"/>
        <v>1300</v>
      </c>
      <c r="T85" s="203" t="str">
        <f t="shared" si="45"/>
        <v>NA</v>
      </c>
      <c r="V85" s="201">
        <v>0</v>
      </c>
      <c r="W85" s="201">
        <v>0</v>
      </c>
      <c r="X85" s="203" t="str">
        <f t="shared" si="46"/>
        <v>NA</v>
      </c>
      <c r="Y85" s="1044"/>
    </row>
    <row r="86" spans="1:26" s="2" customFormat="1" ht="13.5" customHeight="1" outlineLevel="1" x14ac:dyDescent="0.35">
      <c r="A86" s="40">
        <v>86</v>
      </c>
      <c r="B86" s="1099" t="s">
        <v>231</v>
      </c>
      <c r="C86" s="1099"/>
      <c r="D86" s="1099"/>
      <c r="E86" s="61"/>
      <c r="F86" s="61"/>
      <c r="G86" s="61"/>
      <c r="H86" s="61"/>
      <c r="I86" s="61"/>
      <c r="J86" s="61"/>
      <c r="K86" s="61"/>
      <c r="L86" s="61"/>
      <c r="M86" s="61"/>
      <c r="N86" s="61"/>
      <c r="O86" s="22"/>
      <c r="P86" s="61"/>
      <c r="Q86" s="22">
        <f>SUM(Q78:Q85)</f>
        <v>95162</v>
      </c>
      <c r="R86" s="22">
        <f>SUM(R78:R85)</f>
        <v>0</v>
      </c>
      <c r="S86" s="22">
        <f>SUM(S78:S85)</f>
        <v>95162</v>
      </c>
      <c r="T86" s="23" t="str">
        <f t="shared" si="45"/>
        <v>NA</v>
      </c>
      <c r="U86" s="558"/>
      <c r="V86" s="22">
        <f>SUM(V78:V85)</f>
        <v>0</v>
      </c>
      <c r="W86" s="22">
        <f>SUM(W78:W85)</f>
        <v>0</v>
      </c>
      <c r="X86" s="23" t="str">
        <f t="shared" si="46"/>
        <v>NA</v>
      </c>
      <c r="Y86" s="1060"/>
      <c r="Z86" s="1"/>
    </row>
    <row r="87" spans="1:26" s="13" customFormat="1" ht="13.5" customHeight="1" outlineLevel="1" x14ac:dyDescent="0.35">
      <c r="A87" s="1032">
        <v>96</v>
      </c>
      <c r="B87" s="1076" t="s">
        <v>381</v>
      </c>
      <c r="C87" s="1076"/>
      <c r="D87" s="1076"/>
      <c r="E87" s="710">
        <v>22.89</v>
      </c>
      <c r="F87" s="1029">
        <f>ROUNDUP(+J87*(1+F$66),1)</f>
        <v>22.400000000000002</v>
      </c>
      <c r="G87" s="710">
        <v>52</v>
      </c>
      <c r="H87" s="901">
        <f>+IF(J87=0,"NA",ROUND((F87-J87)/J87,3))</f>
        <v>3.2000000000000001E-2</v>
      </c>
      <c r="I87" s="710">
        <v>22.89</v>
      </c>
      <c r="J87" s="711">
        <v>21.7</v>
      </c>
      <c r="K87" s="710">
        <v>52</v>
      </c>
      <c r="L87" s="759">
        <v>1</v>
      </c>
      <c r="M87" s="712">
        <v>21</v>
      </c>
      <c r="N87" s="54"/>
      <c r="P87" s="54"/>
      <c r="Q87" s="341">
        <v>0</v>
      </c>
      <c r="R87" s="341">
        <v>25829</v>
      </c>
      <c r="S87" s="339">
        <f>+Q87-R87</f>
        <v>-25829</v>
      </c>
      <c r="T87" s="340">
        <f>IF(R87=0,"NA",(+Q87-R87)/R87)</f>
        <v>-1</v>
      </c>
      <c r="U87" s="1119"/>
      <c r="V87" s="341">
        <v>0</v>
      </c>
      <c r="W87" s="338">
        <v>17219.36</v>
      </c>
      <c r="X87" s="16">
        <f>IF(W87=0,"NA",(+V87-W87)/W87)</f>
        <v>-1</v>
      </c>
      <c r="Y87" s="1052"/>
      <c r="Z87" s="46"/>
    </row>
    <row r="88" spans="1:26" ht="13.5" customHeight="1" outlineLevel="1" x14ac:dyDescent="0.35">
      <c r="A88" s="40">
        <v>107</v>
      </c>
      <c r="B88" s="1077" t="s">
        <v>40</v>
      </c>
      <c r="F88" s="1026"/>
      <c r="G88" s="1027"/>
      <c r="R88" s="24"/>
      <c r="T88" s="4"/>
    </row>
    <row r="89" spans="1:26" ht="13.5" customHeight="1" outlineLevel="1" x14ac:dyDescent="0.35">
      <c r="A89" s="40">
        <v>108</v>
      </c>
      <c r="C89" s="1088" t="s">
        <v>101</v>
      </c>
      <c r="D89" s="1089"/>
      <c r="E89" s="210"/>
      <c r="F89" s="211"/>
      <c r="G89" s="211"/>
      <c r="H89" s="211"/>
      <c r="I89" s="211"/>
      <c r="J89" s="211"/>
      <c r="K89" s="211"/>
      <c r="L89" s="211"/>
      <c r="M89" s="211"/>
      <c r="N89" s="211"/>
      <c r="O89" s="1319"/>
      <c r="P89" s="1271"/>
      <c r="Q89" s="226">
        <f>ROUND((+R89)*(1+$F$67),0)</f>
        <v>17818</v>
      </c>
      <c r="R89" s="197">
        <v>17818</v>
      </c>
      <c r="S89" s="339">
        <f t="shared" ref="S89:S92" si="47">+Q89-R89</f>
        <v>0</v>
      </c>
      <c r="T89" s="340">
        <f t="shared" ref="T89:T94" si="48">IF(R89=0,"NA",(+Q89-R89)/R89)</f>
        <v>0</v>
      </c>
      <c r="V89" s="338">
        <v>11878.7</v>
      </c>
      <c r="W89" s="338">
        <v>11878.64</v>
      </c>
      <c r="X89" s="340">
        <f t="shared" ref="X89:X94" si="49">IF(W89=0,"NA",(+V89-W89)/W89)</f>
        <v>5.0510832891063014E-6</v>
      </c>
      <c r="Y89" s="1043"/>
      <c r="Z89" s="2"/>
    </row>
    <row r="90" spans="1:26" ht="13.5" customHeight="1" outlineLevel="1" x14ac:dyDescent="0.35">
      <c r="C90" s="1079" t="s">
        <v>172</v>
      </c>
      <c r="D90" s="1080"/>
      <c r="E90" s="336"/>
      <c r="F90" s="337"/>
      <c r="G90" s="337"/>
      <c r="H90" s="337"/>
      <c r="I90" s="337"/>
      <c r="J90" s="337"/>
      <c r="K90" s="337"/>
      <c r="L90" s="337"/>
      <c r="M90" s="337"/>
      <c r="N90" s="337"/>
      <c r="O90" s="713"/>
      <c r="P90" s="1272"/>
      <c r="Q90" s="714">
        <f>ROUND((+R90)*(1+$F$67),0)</f>
        <v>3361</v>
      </c>
      <c r="R90" s="338">
        <v>3361</v>
      </c>
      <c r="S90" s="206">
        <f>+Q90-R90</f>
        <v>0</v>
      </c>
      <c r="T90" s="207">
        <f>IF(R90=0,"NA",(+Q90-R90)/R90)</f>
        <v>0</v>
      </c>
      <c r="V90" s="205">
        <v>2240.64</v>
      </c>
      <c r="W90" s="205">
        <v>2240.64</v>
      </c>
      <c r="X90" s="207">
        <f>IF(W90=0,"NA",(+V90-W90)/W90)</f>
        <v>0</v>
      </c>
      <c r="Y90" s="1053"/>
    </row>
    <row r="91" spans="1:26" ht="13.5" customHeight="1" outlineLevel="1" x14ac:dyDescent="0.35">
      <c r="A91" s="40">
        <v>109</v>
      </c>
      <c r="C91" s="1038" t="s">
        <v>41</v>
      </c>
      <c r="D91" s="1081"/>
      <c r="E91" s="213"/>
      <c r="F91" s="214"/>
      <c r="G91" s="214"/>
      <c r="H91" s="214"/>
      <c r="I91" s="214"/>
      <c r="J91" s="214"/>
      <c r="K91" s="214"/>
      <c r="L91" s="214"/>
      <c r="M91" s="214"/>
      <c r="N91" s="214"/>
      <c r="O91" s="243"/>
      <c r="P91" s="1273"/>
      <c r="Q91" s="201">
        <v>200</v>
      </c>
      <c r="R91" s="201">
        <v>400</v>
      </c>
      <c r="S91" s="202">
        <f t="shared" si="47"/>
        <v>-200</v>
      </c>
      <c r="T91" s="203">
        <f t="shared" si="48"/>
        <v>-0.5</v>
      </c>
      <c r="V91" s="201">
        <v>0</v>
      </c>
      <c r="W91" s="201">
        <v>266.64</v>
      </c>
      <c r="X91" s="203">
        <f t="shared" si="49"/>
        <v>-1</v>
      </c>
      <c r="Y91" s="1044"/>
    </row>
    <row r="92" spans="1:26" ht="13.5" customHeight="1" outlineLevel="1" x14ac:dyDescent="0.35">
      <c r="A92" s="40">
        <v>110</v>
      </c>
      <c r="C92" s="1038" t="s">
        <v>42</v>
      </c>
      <c r="D92" s="1081"/>
      <c r="E92" s="213"/>
      <c r="F92" s="214"/>
      <c r="G92" s="214"/>
      <c r="H92" s="214"/>
      <c r="I92" s="214"/>
      <c r="J92" s="214"/>
      <c r="K92" s="214"/>
      <c r="L92" s="214"/>
      <c r="M92" s="214"/>
      <c r="N92" s="214"/>
      <c r="O92" s="243"/>
      <c r="P92" s="1273"/>
      <c r="Q92" s="234">
        <f>+'Band and Other Music'!H30</f>
        <v>19592</v>
      </c>
      <c r="R92" s="198">
        <f>+'Band and Other Music'!G30</f>
        <v>17856</v>
      </c>
      <c r="S92" s="202">
        <f t="shared" si="47"/>
        <v>1736</v>
      </c>
      <c r="T92" s="203">
        <f t="shared" si="48"/>
        <v>9.7222222222222224E-2</v>
      </c>
      <c r="V92" s="201">
        <v>10060</v>
      </c>
      <c r="W92" s="201">
        <v>11904</v>
      </c>
      <c r="X92" s="203">
        <f t="shared" si="49"/>
        <v>-0.15490591397849462</v>
      </c>
      <c r="Y92" s="1044" t="s">
        <v>719</v>
      </c>
    </row>
    <row r="93" spans="1:26" ht="13.5" customHeight="1" outlineLevel="1" x14ac:dyDescent="0.35">
      <c r="A93" s="40">
        <v>110</v>
      </c>
      <c r="C93" s="1391" t="s">
        <v>489</v>
      </c>
      <c r="D93" s="1391"/>
      <c r="E93" s="213"/>
      <c r="F93" s="970"/>
      <c r="G93" s="214"/>
      <c r="H93" s="214"/>
      <c r="I93" s="214"/>
      <c r="J93" s="214"/>
      <c r="K93" s="214"/>
      <c r="L93" s="214"/>
      <c r="M93" s="214"/>
      <c r="N93" s="214"/>
      <c r="O93" s="243"/>
      <c r="P93" s="1273"/>
      <c r="Q93" s="234">
        <f>+'Band and Other Music'!H56</f>
        <v>4349</v>
      </c>
      <c r="R93" s="198">
        <f>+'Band and Other Music'!G56</f>
        <v>8819</v>
      </c>
      <c r="S93" s="202">
        <f>+Q93-R93</f>
        <v>-4470</v>
      </c>
      <c r="T93" s="203">
        <f>IF(R93=0,"NA",(+Q93-R93)/R93)</f>
        <v>-0.50686018822995804</v>
      </c>
      <c r="V93" s="201">
        <v>4128</v>
      </c>
      <c r="W93" s="201">
        <v>5879.36</v>
      </c>
      <c r="X93" s="203">
        <f>IF(W93=0,"NA",(+V93-W93)/W93)</f>
        <v>-0.297882762749687</v>
      </c>
      <c r="Y93" s="1044" t="s">
        <v>760</v>
      </c>
    </row>
    <row r="94" spans="1:26" s="2" customFormat="1" ht="13.5" customHeight="1" outlineLevel="1" thickBot="1" x14ac:dyDescent="0.4">
      <c r="A94" s="40">
        <v>114</v>
      </c>
      <c r="B94" s="1099" t="s">
        <v>45</v>
      </c>
      <c r="C94" s="1099"/>
      <c r="D94" s="1099"/>
      <c r="E94" s="66" t="s">
        <v>117</v>
      </c>
      <c r="F94" s="67" t="s">
        <v>118</v>
      </c>
      <c r="G94" s="67" t="s">
        <v>121</v>
      </c>
      <c r="H94" s="67" t="s">
        <v>116</v>
      </c>
      <c r="I94" s="67" t="s">
        <v>117</v>
      </c>
      <c r="J94" s="67" t="s">
        <v>118</v>
      </c>
      <c r="K94" s="67" t="s">
        <v>121</v>
      </c>
      <c r="L94" s="67" t="s">
        <v>116</v>
      </c>
      <c r="M94" s="68" t="s">
        <v>118</v>
      </c>
      <c r="N94" s="68" t="s">
        <v>118</v>
      </c>
      <c r="O94" s="68" t="s">
        <v>118</v>
      </c>
      <c r="P94" s="333"/>
      <c r="Q94" s="22">
        <f>SUM(Q89:Q93)</f>
        <v>45320</v>
      </c>
      <c r="R94" s="22">
        <f>SUM(R89:R93)</f>
        <v>48254</v>
      </c>
      <c r="S94" s="22">
        <f>SUM(S89:S93)</f>
        <v>-2934</v>
      </c>
      <c r="T94" s="23">
        <f t="shared" si="48"/>
        <v>-6.0803249471546403E-2</v>
      </c>
      <c r="U94" s="558"/>
      <c r="V94" s="22">
        <f>SUM(V89:V93)</f>
        <v>28307.34</v>
      </c>
      <c r="W94" s="22">
        <f>SUM(W89:W93)</f>
        <v>32169.279999999999</v>
      </c>
      <c r="X94" s="23">
        <f t="shared" si="49"/>
        <v>-0.12005055755055752</v>
      </c>
      <c r="Y94" s="1060"/>
      <c r="Z94" s="1"/>
    </row>
    <row r="95" spans="1:26" ht="13.5" customHeight="1" outlineLevel="1" x14ac:dyDescent="0.35">
      <c r="A95" s="40">
        <v>116</v>
      </c>
      <c r="B95" s="1077" t="s">
        <v>46</v>
      </c>
      <c r="O95" s="24"/>
      <c r="P95" s="1027"/>
      <c r="Q95" s="878"/>
      <c r="R95" s="24"/>
      <c r="S95" s="24"/>
      <c r="T95" s="4"/>
    </row>
    <row r="96" spans="1:26" ht="13.5" customHeight="1" outlineLevel="1" x14ac:dyDescent="0.35">
      <c r="C96" s="1079" t="s">
        <v>249</v>
      </c>
      <c r="D96" s="1080"/>
      <c r="E96" s="710">
        <v>40</v>
      </c>
      <c r="F96" s="1029">
        <f>ROUNDUP(+J96*(1+F$66),1)</f>
        <v>23.8</v>
      </c>
      <c r="G96" s="710">
        <v>52</v>
      </c>
      <c r="H96" s="901">
        <f>+IF(J96=0,"NA",ROUND((F96-J96)/J96,3))</f>
        <v>0.03</v>
      </c>
      <c r="I96" s="710">
        <v>40</v>
      </c>
      <c r="J96" s="711">
        <v>23.1</v>
      </c>
      <c r="K96" s="710">
        <v>52</v>
      </c>
      <c r="L96" s="340">
        <f>IF(M96=0,0,(+K96-M96)/M96)</f>
        <v>1.3636363636363635</v>
      </c>
      <c r="M96" s="711">
        <v>22</v>
      </c>
      <c r="N96" s="711">
        <v>19.93</v>
      </c>
      <c r="O96" s="711">
        <v>17.690000000000001</v>
      </c>
      <c r="P96" s="711"/>
      <c r="Q96" s="714">
        <f>ROUND(E96*F96*G96,0)</f>
        <v>49504</v>
      </c>
      <c r="R96" s="341">
        <v>48048</v>
      </c>
      <c r="S96" s="339">
        <f>+Q96-R96</f>
        <v>1456</v>
      </c>
      <c r="T96" s="340">
        <f>IF(R96=0,"NA",(+Q96-R96)/R96)</f>
        <v>3.0303030303030304E-2</v>
      </c>
      <c r="V96" s="338">
        <v>31372</v>
      </c>
      <c r="W96" s="338">
        <v>32032</v>
      </c>
      <c r="X96" s="340">
        <f>IF(W96=0,"NA",(+V96-W96)/W96)</f>
        <v>-2.0604395604395604E-2</v>
      </c>
      <c r="Y96" s="1043"/>
      <c r="Z96" s="334"/>
    </row>
    <row r="97" spans="1:26" ht="13.5" customHeight="1" outlineLevel="1" x14ac:dyDescent="0.35">
      <c r="A97" s="40">
        <v>118</v>
      </c>
      <c r="C97" s="1038" t="s">
        <v>48</v>
      </c>
      <c r="D97" s="1081"/>
      <c r="E97" s="248"/>
      <c r="F97" s="1030"/>
      <c r="G97" s="244"/>
      <c r="H97" s="246"/>
      <c r="I97" s="244"/>
      <c r="J97" s="245"/>
      <c r="K97" s="244"/>
      <c r="L97" s="203"/>
      <c r="M97" s="245"/>
      <c r="N97" s="245"/>
      <c r="O97" s="245"/>
      <c r="P97" s="245"/>
      <c r="Q97" s="234">
        <f>ROUND((E98*F98*G98)+(E99*F99*G99)+(E100*F100*G100),0)</f>
        <v>38064</v>
      </c>
      <c r="R97" s="234">
        <f>ROUND((I98*J98*K98)+(I99*J99*K99)+(I100*J100*K100),0)</f>
        <v>36868</v>
      </c>
      <c r="S97" s="202">
        <f t="shared" ref="S97:S106" si="50">+Q97-R97</f>
        <v>1196</v>
      </c>
      <c r="T97" s="203">
        <f t="shared" ref="T97:T108" si="51">IF(R97=0,"NA",(+Q97-R97)/R97)</f>
        <v>3.244005641748942E-2</v>
      </c>
      <c r="V97" s="218">
        <v>21861</v>
      </c>
      <c r="W97" s="201">
        <v>24596</v>
      </c>
      <c r="X97" s="203">
        <f t="shared" ref="X97:X108" si="52">IF(W97=0,"NA",(+V97-W97)/W97)</f>
        <v>-0.11119694259229143</v>
      </c>
      <c r="Y97" s="1044" t="s">
        <v>737</v>
      </c>
    </row>
    <row r="98" spans="1:26" ht="13.5" hidden="1" customHeight="1" outlineLevel="2" x14ac:dyDescent="0.35">
      <c r="C98" s="1038"/>
      <c r="D98" s="1081" t="s">
        <v>734</v>
      </c>
      <c r="E98" s="248">
        <v>25</v>
      </c>
      <c r="F98" s="1030">
        <f>ROUNDUP(+J98*(1+F$66),1)</f>
        <v>18.8</v>
      </c>
      <c r="G98" s="244">
        <v>52</v>
      </c>
      <c r="H98" s="246">
        <f>+IF(J98=0,"NA",ROUND((F98-J98)/J98,3))</f>
        <v>3.3000000000000002E-2</v>
      </c>
      <c r="I98" s="244">
        <v>25</v>
      </c>
      <c r="J98" s="245">
        <v>18.2</v>
      </c>
      <c r="K98" s="244">
        <v>52</v>
      </c>
      <c r="L98" s="203">
        <f>IF(M98=0,0,(+J98-M98)/M98)</f>
        <v>3.116147308781874E-2</v>
      </c>
      <c r="M98" s="245">
        <v>17.649999999999999</v>
      </c>
      <c r="N98" s="245">
        <v>16</v>
      </c>
      <c r="O98" s="245">
        <v>13.78</v>
      </c>
      <c r="P98" s="245"/>
      <c r="Q98" s="234"/>
      <c r="R98" s="234"/>
      <c r="S98" s="202"/>
      <c r="T98" s="203"/>
      <c r="V98" s="218"/>
      <c r="W98" s="201"/>
      <c r="X98" s="203"/>
      <c r="Y98" s="1044"/>
    </row>
    <row r="99" spans="1:26" ht="13.5" hidden="1" customHeight="1" outlineLevel="3" x14ac:dyDescent="0.35">
      <c r="C99" s="1038"/>
      <c r="D99" s="1081" t="s">
        <v>733</v>
      </c>
      <c r="E99" s="248"/>
      <c r="F99" s="691">
        <f>ROUNDUP(+J99*(1+F$66),1)</f>
        <v>15.5</v>
      </c>
      <c r="G99" s="244">
        <v>52</v>
      </c>
      <c r="H99" s="246">
        <f>+IF(J99=0,"NA",ROUND((F99-J99)/J99,3))</f>
        <v>3.3000000000000002E-2</v>
      </c>
      <c r="I99" s="244"/>
      <c r="J99" s="245">
        <v>15</v>
      </c>
      <c r="K99" s="244">
        <v>52</v>
      </c>
      <c r="L99" s="203">
        <f>IF(M99=0,0,(+J99-M99)/M99)</f>
        <v>0</v>
      </c>
      <c r="M99" s="245"/>
      <c r="N99" s="245"/>
      <c r="O99" s="245"/>
      <c r="P99" s="245"/>
      <c r="Q99" s="234"/>
      <c r="R99" s="234"/>
      <c r="S99" s="202"/>
      <c r="T99" s="203"/>
      <c r="V99" s="218"/>
      <c r="W99" s="201"/>
      <c r="X99" s="203"/>
      <c r="Y99" s="1044"/>
    </row>
    <row r="100" spans="1:26" ht="13.5" hidden="1" customHeight="1" outlineLevel="4" x14ac:dyDescent="0.35">
      <c r="C100" s="1038"/>
      <c r="D100" s="1081" t="s">
        <v>478</v>
      </c>
      <c r="E100" s="248">
        <v>20</v>
      </c>
      <c r="F100" s="1030">
        <f>ROUNDUP(+J100*(1+F$66),1)</f>
        <v>13.1</v>
      </c>
      <c r="G100" s="244">
        <v>52</v>
      </c>
      <c r="H100" s="246">
        <f>+IF(J100=0,"NA",ROUND((F100-J100)/J100,3))</f>
        <v>3.1E-2</v>
      </c>
      <c r="I100" s="244">
        <v>20</v>
      </c>
      <c r="J100" s="245">
        <v>12.7</v>
      </c>
      <c r="K100" s="244">
        <v>52</v>
      </c>
      <c r="L100" s="203">
        <f>IF(M100=0,0,(+J100-M100)/M100)</f>
        <v>3.6734693877550961E-2</v>
      </c>
      <c r="M100" s="245">
        <v>12.25</v>
      </c>
      <c r="N100" s="245">
        <v>11.86</v>
      </c>
      <c r="O100" s="245">
        <v>11.57</v>
      </c>
      <c r="P100" s="245"/>
      <c r="Q100" s="234"/>
      <c r="R100" s="234"/>
      <c r="S100" s="202"/>
      <c r="T100" s="203"/>
      <c r="V100" s="218"/>
      <c r="W100" s="201"/>
      <c r="X100" s="203"/>
      <c r="Y100" s="1044"/>
    </row>
    <row r="101" spans="1:26" ht="13.5" customHeight="1" outlineLevel="1" collapsed="1" x14ac:dyDescent="0.35">
      <c r="A101" s="40">
        <v>119</v>
      </c>
      <c r="C101" s="1038" t="s">
        <v>49</v>
      </c>
      <c r="D101" s="1081"/>
      <c r="E101" s="213"/>
      <c r="F101" s="214"/>
      <c r="G101" s="214"/>
      <c r="H101" s="214"/>
      <c r="I101" s="214"/>
      <c r="J101" s="214"/>
      <c r="K101" s="214"/>
      <c r="L101" s="214"/>
      <c r="M101" s="214"/>
      <c r="N101" s="214"/>
      <c r="O101" s="204"/>
      <c r="P101" s="214"/>
      <c r="Q101" s="218">
        <v>800</v>
      </c>
      <c r="R101" s="201">
        <v>800</v>
      </c>
      <c r="S101" s="202">
        <f t="shared" si="50"/>
        <v>0</v>
      </c>
      <c r="T101" s="203">
        <f t="shared" si="51"/>
        <v>0</v>
      </c>
      <c r="V101" s="218">
        <v>0</v>
      </c>
      <c r="W101" s="201">
        <v>533.36</v>
      </c>
      <c r="X101" s="203">
        <f t="shared" si="52"/>
        <v>-1</v>
      </c>
      <c r="Y101" s="1044" t="s">
        <v>634</v>
      </c>
    </row>
    <row r="102" spans="1:26" ht="13.5" customHeight="1" outlineLevel="1" x14ac:dyDescent="0.35">
      <c r="A102" s="40">
        <v>120</v>
      </c>
      <c r="C102" s="1038" t="s">
        <v>91</v>
      </c>
      <c r="D102" s="1081"/>
      <c r="E102" s="213"/>
      <c r="F102" s="214"/>
      <c r="G102" s="214"/>
      <c r="H102" s="214"/>
      <c r="I102" s="214"/>
      <c r="J102" s="214"/>
      <c r="K102" s="214"/>
      <c r="L102" s="214"/>
      <c r="M102" s="214"/>
      <c r="N102" s="214"/>
      <c r="O102" s="204"/>
      <c r="P102" s="214"/>
      <c r="Q102" s="218">
        <v>800</v>
      </c>
      <c r="R102" s="201">
        <v>800</v>
      </c>
      <c r="S102" s="202">
        <f t="shared" si="50"/>
        <v>0</v>
      </c>
      <c r="T102" s="203">
        <f t="shared" si="51"/>
        <v>0</v>
      </c>
      <c r="V102" s="201">
        <v>0</v>
      </c>
      <c r="W102" s="201">
        <v>0</v>
      </c>
      <c r="X102" s="203" t="str">
        <f t="shared" si="52"/>
        <v>NA</v>
      </c>
      <c r="Y102" s="1044" t="s">
        <v>724</v>
      </c>
      <c r="Z102" s="2"/>
    </row>
    <row r="103" spans="1:26" ht="13.5" customHeight="1" outlineLevel="1" x14ac:dyDescent="0.35">
      <c r="C103" s="1395" t="s">
        <v>506</v>
      </c>
      <c r="D103" s="1395"/>
      <c r="E103" s="244"/>
      <c r="F103" s="691"/>
      <c r="G103" s="244"/>
      <c r="H103" s="246"/>
      <c r="I103" s="244"/>
      <c r="J103" s="245"/>
      <c r="K103" s="244"/>
      <c r="L103" s="203"/>
      <c r="M103" s="245"/>
      <c r="N103" s="245"/>
      <c r="O103" s="245"/>
      <c r="P103" s="245"/>
      <c r="Q103" s="715">
        <v>0</v>
      </c>
      <c r="R103" s="218">
        <v>0</v>
      </c>
      <c r="S103" s="202">
        <f>+Q103-R103</f>
        <v>0</v>
      </c>
      <c r="T103" s="203" t="str">
        <f>IF(R103=0,"NA",(+Q103-R103)/R103)</f>
        <v>NA</v>
      </c>
      <c r="V103" s="218">
        <v>0</v>
      </c>
      <c r="W103" s="201">
        <v>0</v>
      </c>
      <c r="X103" s="203" t="str">
        <f>IF(W103=0,"NA",(+V103-W103)/W103)</f>
        <v>NA</v>
      </c>
      <c r="Y103" s="1044"/>
      <c r="Z103" s="36"/>
    </row>
    <row r="104" spans="1:26" ht="13.5" customHeight="1" outlineLevel="1" x14ac:dyDescent="0.35">
      <c r="A104" s="40">
        <v>123</v>
      </c>
      <c r="C104" s="1038" t="s">
        <v>50</v>
      </c>
      <c r="D104" s="1081"/>
      <c r="E104" s="250"/>
      <c r="F104" s="368"/>
      <c r="G104" s="250"/>
      <c r="H104" s="250"/>
      <c r="I104" s="250"/>
      <c r="J104" s="251"/>
      <c r="K104" s="252"/>
      <c r="L104" s="252"/>
      <c r="M104" s="253">
        <v>7.6499999999999999E-2</v>
      </c>
      <c r="N104" s="253"/>
      <c r="O104" s="204"/>
      <c r="P104" s="214"/>
      <c r="Q104" s="237">
        <f>ROUND((+Q87+Q94+Q96+Q97+Q106)*$M104,0)</f>
        <v>10208</v>
      </c>
      <c r="R104" s="237">
        <f>ROUND((+R87+R94+R96+R97+R106)*$M104,0)</f>
        <v>12290</v>
      </c>
      <c r="S104" s="202">
        <f>+Q104-R104</f>
        <v>-2082</v>
      </c>
      <c r="T104" s="203">
        <f t="shared" si="51"/>
        <v>-0.1694060211554109</v>
      </c>
      <c r="V104" s="218">
        <v>4716.95</v>
      </c>
      <c r="W104" s="218">
        <v>8193.36</v>
      </c>
      <c r="X104" s="203">
        <f t="shared" si="52"/>
        <v>-0.42429601530995836</v>
      </c>
      <c r="Y104" s="1044" t="s">
        <v>762</v>
      </c>
      <c r="Z104" s="43"/>
    </row>
    <row r="105" spans="1:26" ht="13.5" customHeight="1" outlineLevel="1" x14ac:dyDescent="0.35">
      <c r="A105" s="40">
        <v>124</v>
      </c>
      <c r="C105" s="1038" t="s">
        <v>51</v>
      </c>
      <c r="D105" s="1081"/>
      <c r="E105" s="213"/>
      <c r="F105" s="369"/>
      <c r="G105" s="369"/>
      <c r="H105" s="369"/>
      <c r="I105" s="214"/>
      <c r="J105" s="214"/>
      <c r="K105" s="214"/>
      <c r="L105" s="214"/>
      <c r="M105" s="214"/>
      <c r="N105" s="214"/>
      <c r="O105" s="204"/>
      <c r="P105" s="214"/>
      <c r="Q105" s="1205">
        <f>ROUNDUP(845.5*5,0)</f>
        <v>4228</v>
      </c>
      <c r="R105" s="218">
        <f>4228-0.5</f>
        <v>4227.5</v>
      </c>
      <c r="S105" s="202">
        <f t="shared" si="50"/>
        <v>0.5</v>
      </c>
      <c r="T105" s="203">
        <f t="shared" si="51"/>
        <v>1.1827321111768185E-4</v>
      </c>
      <c r="V105" s="218">
        <v>1254.5</v>
      </c>
      <c r="W105" s="218">
        <v>2114</v>
      </c>
      <c r="X105" s="203">
        <f t="shared" si="52"/>
        <v>-0.40657521286660359</v>
      </c>
      <c r="Y105" s="1214" t="s">
        <v>735</v>
      </c>
      <c r="Z105" s="43"/>
    </row>
    <row r="106" spans="1:26" ht="13.5" customHeight="1" outlineLevel="1" x14ac:dyDescent="0.35">
      <c r="A106" s="40">
        <v>125</v>
      </c>
      <c r="C106" s="1038" t="s">
        <v>52</v>
      </c>
      <c r="D106" s="1081"/>
      <c r="Q106" s="50">
        <f>275*2</f>
        <v>550</v>
      </c>
      <c r="R106" s="48">
        <v>1650</v>
      </c>
      <c r="S106" s="35">
        <f t="shared" si="50"/>
        <v>-1100</v>
      </c>
      <c r="T106" s="3">
        <f t="shared" si="51"/>
        <v>-0.66666666666666663</v>
      </c>
      <c r="V106" s="50">
        <v>267.88</v>
      </c>
      <c r="W106" s="50">
        <v>1100</v>
      </c>
      <c r="X106" s="3">
        <f t="shared" si="52"/>
        <v>-0.7564727272727273</v>
      </c>
      <c r="Y106" s="1061" t="s">
        <v>761</v>
      </c>
    </row>
    <row r="107" spans="1:26" s="2" customFormat="1" ht="13.5" customHeight="1" outlineLevel="1" x14ac:dyDescent="0.35">
      <c r="A107" s="40">
        <v>127</v>
      </c>
      <c r="B107" s="1099" t="s">
        <v>47</v>
      </c>
      <c r="C107" s="1099"/>
      <c r="D107" s="1099"/>
      <c r="E107" s="61"/>
      <c r="F107" s="61"/>
      <c r="G107" s="61"/>
      <c r="H107" s="61"/>
      <c r="I107" s="61"/>
      <c r="J107" s="61"/>
      <c r="K107" s="61"/>
      <c r="L107" s="61"/>
      <c r="M107" s="61"/>
      <c r="N107" s="61"/>
      <c r="O107" s="22"/>
      <c r="P107" s="61"/>
      <c r="Q107" s="22">
        <f>SUM(Q96:Q106)</f>
        <v>104154</v>
      </c>
      <c r="R107" s="22">
        <f>SUM(R96:R106)</f>
        <v>104683.5</v>
      </c>
      <c r="S107" s="22">
        <f>SUM(S96:S106)</f>
        <v>-529.5</v>
      </c>
      <c r="T107" s="23">
        <f t="shared" si="51"/>
        <v>-5.0581037126194673E-3</v>
      </c>
      <c r="U107" s="558"/>
      <c r="V107" s="22">
        <f>SUM(V96:V106)</f>
        <v>59472.329999999994</v>
      </c>
      <c r="W107" s="22">
        <f>SUM(W96:W106)</f>
        <v>68568.72</v>
      </c>
      <c r="X107" s="23">
        <f t="shared" si="52"/>
        <v>-0.13266092760664056</v>
      </c>
      <c r="Y107" s="1060"/>
      <c r="Z107" s="24"/>
    </row>
    <row r="108" spans="1:26" ht="17" customHeight="1" x14ac:dyDescent="0.35">
      <c r="A108" s="40">
        <v>128</v>
      </c>
      <c r="B108" s="1099" t="s">
        <v>53</v>
      </c>
      <c r="C108" s="1099"/>
      <c r="D108" s="1099"/>
      <c r="E108" s="61"/>
      <c r="F108" s="23"/>
      <c r="G108" s="23"/>
      <c r="H108" s="23"/>
      <c r="I108" s="23"/>
      <c r="J108" s="23"/>
      <c r="K108" s="23"/>
      <c r="L108" s="23"/>
      <c r="M108" s="23"/>
      <c r="N108" s="23"/>
      <c r="O108" s="32"/>
      <c r="P108" s="23"/>
      <c r="Q108" s="22">
        <f>+Q76+Q86+Q87+Q94+Q107</f>
        <v>346308.11</v>
      </c>
      <c r="R108" s="22">
        <f>+R76+R86+R87+R94+R107</f>
        <v>273900.5</v>
      </c>
      <c r="S108" s="22">
        <f>+S76+S86+S87+S94+S107</f>
        <v>72407.61</v>
      </c>
      <c r="T108" s="23">
        <f t="shared" si="51"/>
        <v>0.26435734874525596</v>
      </c>
      <c r="V108" s="22">
        <f>+V76+V86+V87+V94+V107</f>
        <v>148998.43</v>
      </c>
      <c r="W108" s="22">
        <f>+W76+W86+W87+W94+W107</f>
        <v>181362.08000000002</v>
      </c>
      <c r="X108" s="23">
        <f t="shared" si="52"/>
        <v>-0.17844772181704147</v>
      </c>
      <c r="Y108" s="1060"/>
      <c r="Z108" s="24"/>
    </row>
    <row r="109" spans="1:26" ht="17" customHeight="1" x14ac:dyDescent="0.35">
      <c r="A109" s="40">
        <v>130</v>
      </c>
      <c r="B109" s="1087" t="s">
        <v>54</v>
      </c>
      <c r="T109" s="4"/>
    </row>
    <row r="110" spans="1:26" ht="13.5" customHeight="1" x14ac:dyDescent="0.35">
      <c r="A110" s="40">
        <v>131</v>
      </c>
      <c r="B110" s="1077" t="s">
        <v>55</v>
      </c>
      <c r="E110" s="971"/>
      <c r="F110" s="972"/>
      <c r="T110" s="4"/>
    </row>
    <row r="111" spans="1:26" ht="13.5" customHeight="1" x14ac:dyDescent="0.35">
      <c r="A111" s="40">
        <v>132</v>
      </c>
      <c r="C111" s="1079" t="s">
        <v>57</v>
      </c>
      <c r="D111" s="1080"/>
      <c r="E111" s="336"/>
      <c r="F111" s="337"/>
      <c r="G111" s="337"/>
      <c r="H111" s="337"/>
      <c r="I111" s="337"/>
      <c r="J111" s="337"/>
      <c r="K111" s="337"/>
      <c r="L111" s="337"/>
      <c r="M111" s="337"/>
      <c r="N111" s="337"/>
      <c r="O111" s="334"/>
      <c r="P111" s="337" t="s">
        <v>791</v>
      </c>
      <c r="Q111" s="341">
        <v>13000</v>
      </c>
      <c r="R111" s="341">
        <v>13000</v>
      </c>
      <c r="S111" s="339">
        <f t="shared" ref="S111:S116" si="53">+Q111-R111</f>
        <v>0</v>
      </c>
      <c r="T111" s="340">
        <f t="shared" ref="T111:T117" si="54">IF(R111=0,"NA",(+Q111-R111)/R111)</f>
        <v>0</v>
      </c>
      <c r="V111" s="338">
        <v>7472.88</v>
      </c>
      <c r="W111" s="338">
        <v>8666.64</v>
      </c>
      <c r="X111" s="340">
        <f t="shared" ref="X111:X117" si="55">IF(W111=0,"NA",(+V111-W111)/W111)</f>
        <v>-0.13774196228296079</v>
      </c>
      <c r="Y111" s="1043"/>
    </row>
    <row r="112" spans="1:26" ht="13.5" customHeight="1" x14ac:dyDescent="0.35">
      <c r="A112" s="40">
        <v>133</v>
      </c>
      <c r="C112" s="1038" t="s">
        <v>58</v>
      </c>
      <c r="D112" s="1081"/>
      <c r="E112" s="212"/>
      <c r="F112" s="212"/>
      <c r="G112" s="212"/>
      <c r="H112" s="212"/>
      <c r="I112" s="212"/>
      <c r="J112" s="212"/>
      <c r="K112" s="212"/>
      <c r="L112" s="212"/>
      <c r="M112" s="212"/>
      <c r="N112" s="212"/>
      <c r="O112" s="212"/>
      <c r="P112" s="213" t="s">
        <v>791</v>
      </c>
      <c r="Q112" s="218">
        <v>9000</v>
      </c>
      <c r="R112" s="218">
        <v>12000</v>
      </c>
      <c r="S112" s="202">
        <f t="shared" si="53"/>
        <v>-3000</v>
      </c>
      <c r="T112" s="203">
        <f t="shared" si="54"/>
        <v>-0.25</v>
      </c>
      <c r="V112" s="201">
        <v>5786.95</v>
      </c>
      <c r="W112" s="201">
        <v>8000</v>
      </c>
      <c r="X112" s="203">
        <f t="shared" si="55"/>
        <v>-0.27663125</v>
      </c>
      <c r="Y112" s="1053"/>
    </row>
    <row r="113" spans="1:26" ht="13.5" customHeight="1" x14ac:dyDescent="0.35">
      <c r="A113" s="40">
        <v>134</v>
      </c>
      <c r="C113" s="1079" t="s">
        <v>228</v>
      </c>
      <c r="D113" s="1080"/>
      <c r="E113" s="335"/>
      <c r="F113" s="335"/>
      <c r="G113" s="335"/>
      <c r="H113" s="335"/>
      <c r="I113" s="335"/>
      <c r="J113" s="335"/>
      <c r="K113" s="335"/>
      <c r="L113" s="335"/>
      <c r="M113" s="335"/>
      <c r="N113" s="335"/>
      <c r="O113" s="335"/>
      <c r="P113" s="336" t="s">
        <v>791</v>
      </c>
      <c r="Q113" s="338">
        <v>0</v>
      </c>
      <c r="R113" s="338">
        <f>2257-0.5</f>
        <v>2256.5</v>
      </c>
      <c r="S113" s="339">
        <f t="shared" si="53"/>
        <v>-2256.5</v>
      </c>
      <c r="T113" s="340">
        <f t="shared" si="54"/>
        <v>-1</v>
      </c>
      <c r="V113" s="338">
        <v>156.56</v>
      </c>
      <c r="W113" s="338">
        <v>1504.64</v>
      </c>
      <c r="X113" s="340">
        <f t="shared" si="55"/>
        <v>-0.89594853253934503</v>
      </c>
      <c r="Y113" s="1044" t="s">
        <v>763</v>
      </c>
      <c r="Z113" s="2"/>
    </row>
    <row r="114" spans="1:26" ht="13.5" customHeight="1" x14ac:dyDescent="0.35">
      <c r="A114" s="40">
        <v>135</v>
      </c>
      <c r="C114" s="1083" t="s">
        <v>60</v>
      </c>
      <c r="D114" s="1084"/>
      <c r="E114" s="215"/>
      <c r="F114" s="215"/>
      <c r="G114" s="215"/>
      <c r="H114" s="215"/>
      <c r="I114" s="215"/>
      <c r="J114" s="215"/>
      <c r="K114" s="215"/>
      <c r="L114" s="215"/>
      <c r="M114" s="215"/>
      <c r="N114" s="215"/>
      <c r="O114" s="215"/>
      <c r="P114" s="216" t="s">
        <v>791</v>
      </c>
      <c r="Q114" s="205">
        <v>1900</v>
      </c>
      <c r="R114" s="205">
        <v>1800</v>
      </c>
      <c r="S114" s="206">
        <f t="shared" si="53"/>
        <v>100</v>
      </c>
      <c r="T114" s="207">
        <f t="shared" si="54"/>
        <v>5.5555555555555552E-2</v>
      </c>
      <c r="V114" s="205">
        <v>1363.84</v>
      </c>
      <c r="W114" s="205">
        <v>1350</v>
      </c>
      <c r="X114" s="207">
        <f t="shared" si="55"/>
        <v>1.0251851851851792E-2</v>
      </c>
      <c r="Y114" s="1053"/>
    </row>
    <row r="115" spans="1:26" ht="13.5" customHeight="1" x14ac:dyDescent="0.35">
      <c r="A115" s="40">
        <v>136</v>
      </c>
      <c r="C115" s="1083" t="s">
        <v>61</v>
      </c>
      <c r="D115" s="1084"/>
      <c r="E115" s="215"/>
      <c r="F115" s="215"/>
      <c r="G115" s="215"/>
      <c r="H115" s="215"/>
      <c r="I115" s="215"/>
      <c r="J115" s="215"/>
      <c r="K115" s="215"/>
      <c r="L115" s="215"/>
      <c r="M115" s="215"/>
      <c r="N115" s="215"/>
      <c r="O115" s="215"/>
      <c r="P115" s="216" t="s">
        <v>791</v>
      </c>
      <c r="Q115" s="205">
        <v>400</v>
      </c>
      <c r="R115" s="205">
        <v>350</v>
      </c>
      <c r="S115" s="206">
        <f t="shared" si="53"/>
        <v>50</v>
      </c>
      <c r="T115" s="207">
        <f t="shared" si="54"/>
        <v>0.14285714285714285</v>
      </c>
      <c r="V115" s="205">
        <v>313.39999999999998</v>
      </c>
      <c r="W115" s="205">
        <v>350</v>
      </c>
      <c r="X115" s="207">
        <f t="shared" si="55"/>
        <v>-0.10457142857142863</v>
      </c>
      <c r="Y115" s="1053"/>
    </row>
    <row r="116" spans="1:26" ht="13.5" customHeight="1" x14ac:dyDescent="0.35">
      <c r="A116" s="40">
        <v>138</v>
      </c>
      <c r="B116" s="1100"/>
      <c r="C116" s="1083" t="s">
        <v>96</v>
      </c>
      <c r="D116" s="1084"/>
      <c r="E116" s="215"/>
      <c r="F116" s="215"/>
      <c r="G116" s="215"/>
      <c r="H116" s="215"/>
      <c r="I116" s="215"/>
      <c r="J116" s="215"/>
      <c r="K116" s="215"/>
      <c r="L116" s="215"/>
      <c r="M116" s="215"/>
      <c r="N116" s="215"/>
      <c r="O116" s="215"/>
      <c r="P116" s="216" t="s">
        <v>791</v>
      </c>
      <c r="Q116" s="205">
        <v>8000</v>
      </c>
      <c r="R116" s="205">
        <v>7000</v>
      </c>
      <c r="S116" s="206">
        <f t="shared" si="53"/>
        <v>1000</v>
      </c>
      <c r="T116" s="207">
        <f t="shared" si="54"/>
        <v>0.14285714285714285</v>
      </c>
      <c r="V116" s="205">
        <v>5912.6</v>
      </c>
      <c r="W116" s="205">
        <v>5250</v>
      </c>
      <c r="X116" s="207">
        <f t="shared" si="55"/>
        <v>0.12620952380952388</v>
      </c>
      <c r="Y116" s="1053"/>
    </row>
    <row r="117" spans="1:26" s="2" customFormat="1" ht="13.5" customHeight="1" x14ac:dyDescent="0.35">
      <c r="A117" s="40">
        <v>139</v>
      </c>
      <c r="B117" s="1101" t="s">
        <v>63</v>
      </c>
      <c r="C117" s="1101"/>
      <c r="D117" s="1101"/>
      <c r="E117" s="62"/>
      <c r="F117" s="62"/>
      <c r="G117" s="62"/>
      <c r="H117" s="62"/>
      <c r="I117" s="62"/>
      <c r="J117" s="62"/>
      <c r="K117" s="62"/>
      <c r="L117" s="62"/>
      <c r="M117" s="62"/>
      <c r="N117" s="62"/>
      <c r="O117" s="25"/>
      <c r="P117" s="62"/>
      <c r="Q117" s="25">
        <f>SUM(Q111:Q116)</f>
        <v>32300</v>
      </c>
      <c r="R117" s="25">
        <f>SUM(R111:R116)</f>
        <v>36406.5</v>
      </c>
      <c r="S117" s="25">
        <f>SUM(S111:S116)</f>
        <v>-4106.5</v>
      </c>
      <c r="T117" s="26">
        <f t="shared" si="54"/>
        <v>-0.11279579196022688</v>
      </c>
      <c r="U117" s="558"/>
      <c r="V117" s="25">
        <f>SUM(V111:V116)</f>
        <v>21006.23</v>
      </c>
      <c r="W117" s="25">
        <f>SUM(W111:W116)</f>
        <v>25121.279999999999</v>
      </c>
      <c r="X117" s="26">
        <f t="shared" si="55"/>
        <v>-0.16380733784265769</v>
      </c>
      <c r="Y117" s="1062"/>
    </row>
    <row r="118" spans="1:26" ht="13.5" customHeight="1" x14ac:dyDescent="0.35">
      <c r="A118" s="40">
        <v>141</v>
      </c>
      <c r="B118" s="1077" t="s">
        <v>64</v>
      </c>
      <c r="T118" s="4"/>
    </row>
    <row r="119" spans="1:26" ht="13.5" customHeight="1" x14ac:dyDescent="0.35">
      <c r="A119" s="40">
        <v>142</v>
      </c>
      <c r="C119" s="1079" t="s">
        <v>65</v>
      </c>
      <c r="D119" s="1080"/>
      <c r="E119" s="336"/>
      <c r="F119" s="337"/>
      <c r="G119" s="337"/>
      <c r="H119" s="337"/>
      <c r="I119" s="337"/>
      <c r="J119" s="337"/>
      <c r="K119" s="337"/>
      <c r="L119" s="337"/>
      <c r="M119" s="337"/>
      <c r="N119" s="337"/>
      <c r="O119" s="334"/>
      <c r="P119" s="337" t="s">
        <v>792</v>
      </c>
      <c r="Q119" s="341">
        <v>15000</v>
      </c>
      <c r="R119" s="341">
        <v>14000</v>
      </c>
      <c r="S119" s="339">
        <f t="shared" ref="S119:S123" si="56">+Q119-R119</f>
        <v>1000</v>
      </c>
      <c r="T119" s="340">
        <f t="shared" ref="T119:T125" si="57">IF(R119=0,"NA",(+Q119-R119)/R119)</f>
        <v>7.1428571428571425E-2</v>
      </c>
      <c r="V119" s="338">
        <v>7487.75</v>
      </c>
      <c r="W119" s="338">
        <v>7000</v>
      </c>
      <c r="X119" s="340">
        <f t="shared" ref="X119:X125" si="58">IF(W119=0,"NA",(+V119-W119)/W119)</f>
        <v>6.9678571428571423E-2</v>
      </c>
      <c r="Y119" s="1043"/>
    </row>
    <row r="120" spans="1:26" ht="13.5" customHeight="1" x14ac:dyDescent="0.35">
      <c r="A120" s="40">
        <v>143</v>
      </c>
      <c r="C120" s="1083" t="s">
        <v>66</v>
      </c>
      <c r="D120" s="1084"/>
      <c r="E120" s="216"/>
      <c r="F120" s="217"/>
      <c r="G120" s="217"/>
      <c r="H120" s="217"/>
      <c r="I120" s="217"/>
      <c r="J120" s="217"/>
      <c r="K120" s="217"/>
      <c r="L120" s="217"/>
      <c r="M120" s="217"/>
      <c r="N120" s="217"/>
      <c r="O120" s="208"/>
      <c r="P120" s="217" t="s">
        <v>791</v>
      </c>
      <c r="Q120" s="205">
        <v>6000</v>
      </c>
      <c r="R120" s="205">
        <v>6000</v>
      </c>
      <c r="S120" s="206">
        <f t="shared" si="56"/>
        <v>0</v>
      </c>
      <c r="T120" s="207">
        <f t="shared" si="57"/>
        <v>0</v>
      </c>
      <c r="V120" s="205">
        <v>2560.8000000000002</v>
      </c>
      <c r="W120" s="205">
        <v>4800</v>
      </c>
      <c r="X120" s="207">
        <f t="shared" si="58"/>
        <v>-0.46649999999999997</v>
      </c>
      <c r="Y120" s="1053"/>
    </row>
    <row r="121" spans="1:26" ht="13.5" customHeight="1" x14ac:dyDescent="0.35">
      <c r="A121" s="40">
        <v>159</v>
      </c>
      <c r="C121" s="1083" t="s">
        <v>89</v>
      </c>
      <c r="D121" s="1084"/>
      <c r="E121" s="216"/>
      <c r="F121" s="217"/>
      <c r="G121" s="217"/>
      <c r="H121" s="217"/>
      <c r="I121" s="217"/>
      <c r="J121" s="217"/>
      <c r="K121" s="217"/>
      <c r="L121" s="217"/>
      <c r="M121" s="217"/>
      <c r="N121" s="217"/>
      <c r="O121" s="208"/>
      <c r="P121" s="217" t="s">
        <v>791</v>
      </c>
      <c r="Q121" s="205">
        <v>4500</v>
      </c>
      <c r="R121" s="205">
        <v>4500</v>
      </c>
      <c r="S121" s="206">
        <f t="shared" si="56"/>
        <v>0</v>
      </c>
      <c r="T121" s="207">
        <f t="shared" si="57"/>
        <v>0</v>
      </c>
      <c r="V121" s="205">
        <v>2574.31</v>
      </c>
      <c r="W121" s="205">
        <v>3000</v>
      </c>
      <c r="X121" s="207">
        <f t="shared" si="58"/>
        <v>-0.1418966666666667</v>
      </c>
      <c r="Y121" s="1053"/>
    </row>
    <row r="122" spans="1:26" ht="13.5" customHeight="1" x14ac:dyDescent="0.35">
      <c r="A122" s="40">
        <v>145</v>
      </c>
      <c r="C122" s="1394" t="s">
        <v>92</v>
      </c>
      <c r="D122" s="1394"/>
      <c r="E122" s="343"/>
      <c r="F122" s="343"/>
      <c r="G122" s="343"/>
      <c r="H122" s="343"/>
      <c r="I122" s="343"/>
      <c r="J122" s="343"/>
      <c r="K122" s="343"/>
      <c r="L122" s="343"/>
      <c r="M122" s="343"/>
      <c r="N122" s="343"/>
      <c r="O122" s="342"/>
      <c r="P122" s="343" t="s">
        <v>791</v>
      </c>
      <c r="Q122" s="219">
        <v>6200</v>
      </c>
      <c r="R122" s="219">
        <v>6000</v>
      </c>
      <c r="S122" s="206">
        <f t="shared" si="56"/>
        <v>200</v>
      </c>
      <c r="T122" s="207">
        <f t="shared" si="57"/>
        <v>3.3333333333333333E-2</v>
      </c>
      <c r="V122" s="205">
        <v>4136.46</v>
      </c>
      <c r="W122" s="205">
        <v>4000</v>
      </c>
      <c r="X122" s="207">
        <f t="shared" si="58"/>
        <v>3.4115000000000006E-2</v>
      </c>
      <c r="Y122" s="1044"/>
    </row>
    <row r="123" spans="1:26" ht="13.5" customHeight="1" x14ac:dyDescent="0.35">
      <c r="A123" s="40">
        <v>146</v>
      </c>
      <c r="C123" s="1083" t="s">
        <v>67</v>
      </c>
      <c r="D123" s="1084"/>
      <c r="E123" s="216"/>
      <c r="F123" s="217"/>
      <c r="G123" s="217"/>
      <c r="H123" s="217"/>
      <c r="I123" s="217"/>
      <c r="J123" s="217"/>
      <c r="K123" s="217"/>
      <c r="L123" s="217"/>
      <c r="M123" s="217"/>
      <c r="N123" s="217"/>
      <c r="O123" s="208"/>
      <c r="P123" s="217" t="s">
        <v>791</v>
      </c>
      <c r="Q123" s="205">
        <v>10000</v>
      </c>
      <c r="R123" s="205">
        <v>10000</v>
      </c>
      <c r="S123" s="206">
        <f t="shared" si="56"/>
        <v>0</v>
      </c>
      <c r="T123" s="207">
        <f t="shared" si="57"/>
        <v>0</v>
      </c>
      <c r="V123" s="219">
        <v>0</v>
      </c>
      <c r="W123" s="205">
        <v>6666.64</v>
      </c>
      <c r="X123" s="207">
        <f t="shared" si="58"/>
        <v>-1</v>
      </c>
      <c r="Y123" s="1043"/>
    </row>
    <row r="124" spans="1:26" s="2" customFormat="1" ht="13.5" customHeight="1" x14ac:dyDescent="0.35">
      <c r="A124" s="40">
        <v>150</v>
      </c>
      <c r="B124" s="1101" t="s">
        <v>68</v>
      </c>
      <c r="C124" s="1101"/>
      <c r="D124" s="1101"/>
      <c r="E124" s="62"/>
      <c r="F124" s="62"/>
      <c r="G124" s="62"/>
      <c r="H124" s="62"/>
      <c r="I124" s="62"/>
      <c r="J124" s="62"/>
      <c r="K124" s="62"/>
      <c r="L124" s="62"/>
      <c r="M124" s="62"/>
      <c r="N124" s="62"/>
      <c r="O124" s="25"/>
      <c r="P124" s="62"/>
      <c r="Q124" s="25">
        <f>SUM(Q119:Q123)</f>
        <v>41700</v>
      </c>
      <c r="R124" s="25">
        <f>SUM(R119:R123)</f>
        <v>40500</v>
      </c>
      <c r="S124" s="25">
        <f>SUM(S119:S123)</f>
        <v>1200</v>
      </c>
      <c r="T124" s="26">
        <f t="shared" si="57"/>
        <v>2.9629629629629631E-2</v>
      </c>
      <c r="U124" s="558"/>
      <c r="V124" s="25">
        <f>SUM(V119:V123)</f>
        <v>16759.32</v>
      </c>
      <c r="W124" s="25">
        <f>SUM(W119:W123)</f>
        <v>25466.639999999999</v>
      </c>
      <c r="X124" s="26">
        <f t="shared" si="58"/>
        <v>-0.34191082922599919</v>
      </c>
      <c r="Y124" s="1062"/>
      <c r="Z124" s="1"/>
    </row>
    <row r="125" spans="1:26" ht="17" customHeight="1" x14ac:dyDescent="0.35">
      <c r="A125" s="40">
        <v>151</v>
      </c>
      <c r="B125" s="1101" t="s">
        <v>69</v>
      </c>
      <c r="C125" s="1101"/>
      <c r="D125" s="1101"/>
      <c r="E125" s="62"/>
      <c r="F125" s="62"/>
      <c r="G125" s="62"/>
      <c r="H125" s="62"/>
      <c r="I125" s="62"/>
      <c r="J125" s="62"/>
      <c r="K125" s="62"/>
      <c r="L125" s="62"/>
      <c r="M125" s="62"/>
      <c r="N125" s="62"/>
      <c r="O125" s="25"/>
      <c r="P125" s="62"/>
      <c r="Q125" s="25">
        <f>+Q117+Q124</f>
        <v>74000</v>
      </c>
      <c r="R125" s="25">
        <f>+R117+R124</f>
        <v>76906.5</v>
      </c>
      <c r="S125" s="25">
        <f>+S117+S124</f>
        <v>-2906.5</v>
      </c>
      <c r="T125" s="26">
        <f t="shared" si="57"/>
        <v>-3.7792644314849848E-2</v>
      </c>
      <c r="V125" s="25">
        <f>+V117+V124</f>
        <v>37765.550000000003</v>
      </c>
      <c r="W125" s="25">
        <f>+W117+W124</f>
        <v>50587.92</v>
      </c>
      <c r="X125" s="26">
        <f t="shared" si="58"/>
        <v>-0.25346703323639314</v>
      </c>
      <c r="Y125" s="1062"/>
    </row>
    <row r="126" spans="1:26" ht="23" customHeight="1" x14ac:dyDescent="0.35">
      <c r="A126" s="40">
        <v>154</v>
      </c>
      <c r="B126" s="1087" t="s">
        <v>71</v>
      </c>
      <c r="T126" s="4"/>
    </row>
    <row r="127" spans="1:26" ht="18.5" x14ac:dyDescent="0.35">
      <c r="B127" s="1087"/>
      <c r="C127" s="1088" t="s">
        <v>522</v>
      </c>
      <c r="D127" s="1089"/>
      <c r="E127" s="210"/>
      <c r="F127" s="211"/>
      <c r="G127" s="211"/>
      <c r="H127" s="211"/>
      <c r="I127" s="211"/>
      <c r="J127" s="211"/>
      <c r="K127" s="211"/>
      <c r="L127" s="211"/>
      <c r="M127" s="211"/>
      <c r="N127" s="211"/>
      <c r="O127" s="200"/>
      <c r="P127" s="211"/>
      <c r="Q127" s="220">
        <v>0</v>
      </c>
      <c r="R127" s="220"/>
      <c r="S127" s="198">
        <f>+Q127-R127</f>
        <v>0</v>
      </c>
      <c r="T127" s="199" t="str">
        <f>IF(R127=0,"NA",(+Q127-R127)/R127)</f>
        <v>NA</v>
      </c>
      <c r="V127" s="197">
        <v>0</v>
      </c>
      <c r="W127" s="197">
        <v>0</v>
      </c>
      <c r="X127" s="199" t="str">
        <f>IF(W127=0,"NA",(+V127-W127)/W127)</f>
        <v>NA</v>
      </c>
      <c r="Y127" s="1050"/>
    </row>
    <row r="128" spans="1:26" hidden="1" x14ac:dyDescent="0.35">
      <c r="C128" s="1088" t="s">
        <v>72</v>
      </c>
      <c r="D128" s="1089"/>
      <c r="E128" s="210"/>
      <c r="F128" s="211"/>
      <c r="G128" s="211"/>
      <c r="H128" s="211"/>
      <c r="I128" s="211"/>
      <c r="J128" s="211"/>
      <c r="K128" s="211"/>
      <c r="L128" s="211"/>
      <c r="M128" s="211"/>
      <c r="N128" s="211"/>
      <c r="O128" s="200"/>
      <c r="P128" s="211"/>
      <c r="Q128" s="220">
        <v>0</v>
      </c>
      <c r="R128" s="220">
        <v>0</v>
      </c>
      <c r="S128" s="198">
        <f t="shared" ref="S128:S133" si="59">+Q128-R128</f>
        <v>0</v>
      </c>
      <c r="T128" s="199" t="str">
        <f t="shared" ref="T128:T134" si="60">IF(R128=0,"NA",(+Q128-R128)/R128)</f>
        <v>NA</v>
      </c>
      <c r="V128" s="197">
        <v>0</v>
      </c>
      <c r="W128" s="197">
        <v>0</v>
      </c>
      <c r="X128" s="199" t="str">
        <f t="shared" ref="X128:X133" si="61">IF(W128=0,"NA",(+V128-W128)/W128)</f>
        <v>NA</v>
      </c>
      <c r="Y128" s="1050"/>
    </row>
    <row r="129" spans="1:26" hidden="1" x14ac:dyDescent="0.35">
      <c r="C129" s="1038" t="s">
        <v>138</v>
      </c>
      <c r="D129" s="1081"/>
      <c r="E129" s="213"/>
      <c r="F129" s="214"/>
      <c r="G129" s="214"/>
      <c r="H129" s="214"/>
      <c r="I129" s="214"/>
      <c r="J129" s="214"/>
      <c r="K129" s="214"/>
      <c r="L129" s="214"/>
      <c r="M129" s="214"/>
      <c r="N129" s="214"/>
      <c r="O129" s="204"/>
      <c r="P129" s="214"/>
      <c r="Q129" s="218">
        <v>0</v>
      </c>
      <c r="R129" s="218">
        <v>0</v>
      </c>
      <c r="S129" s="202">
        <f t="shared" si="59"/>
        <v>0</v>
      </c>
      <c r="T129" s="203" t="str">
        <f t="shared" si="60"/>
        <v>NA</v>
      </c>
      <c r="V129" s="201">
        <v>0</v>
      </c>
      <c r="W129" s="201">
        <v>0</v>
      </c>
      <c r="X129" s="203" t="str">
        <f t="shared" si="61"/>
        <v>NA</v>
      </c>
      <c r="Y129" s="1044"/>
    </row>
    <row r="130" spans="1:26" x14ac:dyDescent="0.35">
      <c r="A130" s="40">
        <v>156</v>
      </c>
      <c r="C130" s="1038" t="s">
        <v>108</v>
      </c>
      <c r="D130" s="1081"/>
      <c r="E130" s="213"/>
      <c r="F130" s="214"/>
      <c r="G130" s="214"/>
      <c r="H130" s="214"/>
      <c r="I130" s="214"/>
      <c r="J130" s="214"/>
      <c r="K130" s="214"/>
      <c r="L130" s="214"/>
      <c r="M130" s="214"/>
      <c r="N130" s="214"/>
      <c r="O130" s="204"/>
      <c r="P130" s="214"/>
      <c r="Q130" s="218">
        <v>0</v>
      </c>
      <c r="R130" s="218">
        <v>0</v>
      </c>
      <c r="S130" s="202">
        <f t="shared" si="59"/>
        <v>0</v>
      </c>
      <c r="T130" s="203" t="str">
        <f t="shared" si="60"/>
        <v>NA</v>
      </c>
      <c r="V130" s="218">
        <v>0</v>
      </c>
      <c r="W130" s="201">
        <v>0</v>
      </c>
      <c r="X130" s="203" t="str">
        <f t="shared" si="61"/>
        <v>NA</v>
      </c>
      <c r="Y130" s="1044"/>
    </row>
    <row r="131" spans="1:26" hidden="1" x14ac:dyDescent="0.35">
      <c r="A131" s="40">
        <v>157</v>
      </c>
      <c r="C131" s="1038" t="s">
        <v>113</v>
      </c>
      <c r="D131" s="1081"/>
      <c r="E131" s="213"/>
      <c r="F131" s="214"/>
      <c r="G131" s="214"/>
      <c r="H131" s="214"/>
      <c r="I131" s="214"/>
      <c r="J131" s="214"/>
      <c r="K131" s="214"/>
      <c r="L131" s="214"/>
      <c r="M131" s="214"/>
      <c r="N131" s="214"/>
      <c r="O131" s="204"/>
      <c r="P131" s="214"/>
      <c r="Q131" s="218">
        <v>0</v>
      </c>
      <c r="R131" s="218">
        <v>0</v>
      </c>
      <c r="S131" s="202">
        <f t="shared" si="59"/>
        <v>0</v>
      </c>
      <c r="T131" s="203" t="str">
        <f t="shared" si="60"/>
        <v>NA</v>
      </c>
      <c r="V131" s="218">
        <v>0</v>
      </c>
      <c r="W131" s="201">
        <v>0</v>
      </c>
      <c r="X131" s="247" t="s">
        <v>371</v>
      </c>
      <c r="Y131" s="1064"/>
    </row>
    <row r="132" spans="1:26" hidden="1" x14ac:dyDescent="0.35">
      <c r="A132" s="40">
        <v>157</v>
      </c>
      <c r="C132" s="1083" t="s">
        <v>133</v>
      </c>
      <c r="D132" s="1084"/>
      <c r="E132" s="216"/>
      <c r="F132" s="217"/>
      <c r="G132" s="217"/>
      <c r="H132" s="217"/>
      <c r="I132" s="217"/>
      <c r="J132" s="217"/>
      <c r="K132" s="217"/>
      <c r="L132" s="217"/>
      <c r="M132" s="217"/>
      <c r="N132" s="217"/>
      <c r="O132" s="208"/>
      <c r="P132" s="217"/>
      <c r="Q132" s="219">
        <v>0</v>
      </c>
      <c r="R132" s="219">
        <v>0</v>
      </c>
      <c r="S132" s="206">
        <f t="shared" si="59"/>
        <v>0</v>
      </c>
      <c r="T132" s="207" t="str">
        <f t="shared" si="60"/>
        <v>NA</v>
      </c>
      <c r="V132" s="205">
        <v>0</v>
      </c>
      <c r="W132" s="205">
        <v>0</v>
      </c>
      <c r="X132" s="207" t="str">
        <f t="shared" si="61"/>
        <v>NA</v>
      </c>
      <c r="Y132" s="1053"/>
      <c r="Z132" s="2"/>
    </row>
    <row r="133" spans="1:26" hidden="1" x14ac:dyDescent="0.35">
      <c r="A133" s="40">
        <v>158</v>
      </c>
      <c r="C133" s="1049" t="s">
        <v>73</v>
      </c>
      <c r="Q133" s="50">
        <v>0</v>
      </c>
      <c r="R133" s="50">
        <v>0</v>
      </c>
      <c r="S133" s="35">
        <f t="shared" si="59"/>
        <v>0</v>
      </c>
      <c r="T133" s="3" t="str">
        <f t="shared" si="60"/>
        <v>NA</v>
      </c>
      <c r="V133" s="48">
        <v>0</v>
      </c>
      <c r="W133" s="48">
        <v>0</v>
      </c>
      <c r="X133" s="3" t="str">
        <f t="shared" si="61"/>
        <v>NA</v>
      </c>
      <c r="Y133" s="1063"/>
      <c r="Z133" s="2">
        <v>16</v>
      </c>
    </row>
    <row r="134" spans="1:26" s="2" customFormat="1" x14ac:dyDescent="0.35">
      <c r="A134" s="1"/>
      <c r="B134" s="1102" t="s">
        <v>74</v>
      </c>
      <c r="C134" s="1102"/>
      <c r="D134" s="1102"/>
      <c r="E134" s="63"/>
      <c r="F134" s="63"/>
      <c r="G134" s="63"/>
      <c r="H134" s="63"/>
      <c r="I134" s="63"/>
      <c r="J134" s="63"/>
      <c r="K134" s="63"/>
      <c r="L134" s="63"/>
      <c r="M134" s="63"/>
      <c r="N134" s="63"/>
      <c r="O134" s="27"/>
      <c r="P134" s="63"/>
      <c r="Q134" s="27">
        <f>SUM(Q127:Q133)</f>
        <v>0</v>
      </c>
      <c r="R134" s="27">
        <f>SUM(R127:R133)</f>
        <v>0</v>
      </c>
      <c r="S134" s="27">
        <f>SUM(S127:S133)</f>
        <v>0</v>
      </c>
      <c r="T134" s="28" t="str">
        <f t="shared" si="60"/>
        <v>NA</v>
      </c>
      <c r="U134" s="558"/>
      <c r="V134" s="27">
        <f>SUM(V127:V133)</f>
        <v>0</v>
      </c>
      <c r="W134" s="27">
        <f>SUM(W127:W133)</f>
        <v>0</v>
      </c>
      <c r="X134" s="692" t="s">
        <v>371</v>
      </c>
      <c r="Y134" s="1065"/>
      <c r="Z134" s="1"/>
    </row>
    <row r="135" spans="1:26" ht="7.5" customHeight="1" x14ac:dyDescent="0.35">
      <c r="A135" s="40">
        <v>160</v>
      </c>
      <c r="D135" s="1049"/>
      <c r="E135" s="36"/>
      <c r="T135" s="4"/>
    </row>
    <row r="136" spans="1:26" ht="17" customHeight="1" x14ac:dyDescent="0.35">
      <c r="A136" s="40">
        <v>161</v>
      </c>
      <c r="B136" s="1103" t="s">
        <v>75</v>
      </c>
      <c r="C136" s="1104"/>
      <c r="D136" s="1104"/>
      <c r="E136" s="64"/>
      <c r="F136" s="64"/>
      <c r="G136" s="64"/>
      <c r="H136" s="64"/>
      <c r="I136" s="64"/>
      <c r="J136" s="64"/>
      <c r="K136" s="64"/>
      <c r="L136" s="64"/>
      <c r="M136" s="64"/>
      <c r="N136" s="64"/>
      <c r="O136" s="30"/>
      <c r="P136" s="64"/>
      <c r="Q136" s="29">
        <f>Q28+Q65+Q108+Q125+Q134</f>
        <v>477071.11</v>
      </c>
      <c r="R136" s="29">
        <f>+R65+R108+R125+R134+R28</f>
        <v>416000</v>
      </c>
      <c r="S136" s="29">
        <f>+S65+S108+S125+S134+S28</f>
        <v>61071.11</v>
      </c>
      <c r="T136" s="31">
        <f>IF(R136=0,"NA",(+Q136-R136)/R136)</f>
        <v>0.14680555288461536</v>
      </c>
      <c r="V136" s="29">
        <f>+V65+V108+V125+V134+V28</f>
        <v>218596.77000000002</v>
      </c>
      <c r="W136" s="29">
        <f>+W65+W108+W125+W134+W28</f>
        <v>271156.52</v>
      </c>
      <c r="X136" s="31">
        <f>IF(W136=0,"NA",(+V136-W136)/W136)</f>
        <v>-0.19383546447638433</v>
      </c>
      <c r="Y136" s="1066"/>
    </row>
    <row r="137" spans="1:26" x14ac:dyDescent="0.35">
      <c r="A137" s="40">
        <v>162</v>
      </c>
      <c r="B137" s="1103" t="s">
        <v>76</v>
      </c>
      <c r="C137" s="1104"/>
      <c r="D137" s="1104"/>
      <c r="E137" s="64"/>
      <c r="F137" s="64"/>
      <c r="G137" s="64"/>
      <c r="H137" s="64"/>
      <c r="I137" s="64"/>
      <c r="J137" s="64"/>
      <c r="K137" s="64"/>
      <c r="L137" s="64"/>
      <c r="M137" s="64"/>
      <c r="N137" s="64"/>
      <c r="O137" s="30"/>
      <c r="P137" s="64"/>
      <c r="Q137" s="29">
        <f>ROUND(+Q14-Q136,0)</f>
        <v>-3571</v>
      </c>
      <c r="R137" s="29">
        <f>ROUND(+R14-R136,0)</f>
        <v>0</v>
      </c>
      <c r="S137" s="29">
        <f>ROUND(+S14-S136,0)</f>
        <v>-3571</v>
      </c>
      <c r="T137" s="31" t="str">
        <f>IF(R137=0,"NA",(+Q137-R137)/R137)</f>
        <v>NA</v>
      </c>
      <c r="V137" s="29">
        <f>+ROUND(V14-V136,0)</f>
        <v>125316</v>
      </c>
      <c r="W137" s="29">
        <f>+W14-W136</f>
        <v>23899.179999999993</v>
      </c>
      <c r="X137" s="697" t="s">
        <v>371</v>
      </c>
      <c r="Y137" s="1067"/>
    </row>
    <row r="138" spans="1:26" ht="10" customHeight="1" x14ac:dyDescent="0.35">
      <c r="T138" s="4"/>
    </row>
    <row r="139" spans="1:26" hidden="1" x14ac:dyDescent="0.35">
      <c r="B139" s="1105" t="s">
        <v>431</v>
      </c>
      <c r="C139" s="1106"/>
      <c r="D139" s="1106"/>
      <c r="E139" s="76"/>
      <c r="F139" s="76"/>
      <c r="G139" s="76"/>
      <c r="H139" s="76"/>
      <c r="I139" s="76"/>
      <c r="J139" s="76"/>
      <c r="K139" s="76"/>
      <c r="L139" s="76"/>
      <c r="M139" s="76"/>
      <c r="N139" s="76"/>
      <c r="O139" s="75"/>
      <c r="P139" s="76"/>
      <c r="Q139" s="77" t="e">
        <f>+Q14-#REF!</f>
        <v>#REF!</v>
      </c>
      <c r="R139" s="77" t="e">
        <f>+R14-#REF!</f>
        <v>#REF!</v>
      </c>
      <c r="S139" s="78" t="e">
        <f>+Q139-R139</f>
        <v>#REF!</v>
      </c>
      <c r="T139" s="79" t="e">
        <f>IF(R139=0,"NA",(+Q139-R139)/R139)</f>
        <v>#REF!</v>
      </c>
      <c r="U139" s="69"/>
      <c r="V139" s="77" t="e">
        <f>+V14-#REF!</f>
        <v>#REF!</v>
      </c>
      <c r="W139" s="77" t="e">
        <f>+W14-#REF!</f>
        <v>#REF!</v>
      </c>
      <c r="X139" s="80" t="e">
        <f>IF(W139=0,"NA",(+V139-W139)/W139)</f>
        <v>#REF!</v>
      </c>
      <c r="Y139" s="1068"/>
    </row>
    <row r="140" spans="1:26" hidden="1" x14ac:dyDescent="0.35">
      <c r="B140" s="1107" t="s">
        <v>115</v>
      </c>
      <c r="C140" s="1108"/>
      <c r="D140" s="1108"/>
      <c r="E140" s="70"/>
      <c r="F140" s="70"/>
      <c r="G140" s="70"/>
      <c r="H140" s="70"/>
      <c r="I140" s="70"/>
      <c r="J140" s="70"/>
      <c r="K140" s="70"/>
      <c r="L140" s="70"/>
      <c r="M140" s="70"/>
      <c r="N140" s="70"/>
      <c r="O140" s="69"/>
      <c r="P140" s="70"/>
      <c r="Q140" s="71">
        <f>+Q136-Q134</f>
        <v>477071.11</v>
      </c>
      <c r="R140" s="71">
        <f>+R136-R134</f>
        <v>416000</v>
      </c>
      <c r="S140" s="72">
        <f>+Q140-R140</f>
        <v>61071.109999999986</v>
      </c>
      <c r="T140" s="73">
        <f>IF(R140=0,"NA",(+Q140-R140)/R140)</f>
        <v>0.14680555288461536</v>
      </c>
      <c r="U140" s="69"/>
      <c r="V140" s="71">
        <f>+V136-V134</f>
        <v>218596.77000000002</v>
      </c>
      <c r="W140" s="71">
        <f>+W136-W134</f>
        <v>271156.52</v>
      </c>
      <c r="X140" s="82">
        <f>IF(W140=0,"NA",(+V140-W140)/W140)</f>
        <v>-0.19383546447638433</v>
      </c>
      <c r="Y140" s="1068"/>
    </row>
    <row r="141" spans="1:26" ht="15" hidden="1" thickBot="1" x14ac:dyDescent="0.4">
      <c r="B141" s="1109" t="s">
        <v>124</v>
      </c>
      <c r="C141" s="1110"/>
      <c r="D141" s="1110"/>
      <c r="E141" s="85"/>
      <c r="F141" s="85"/>
      <c r="G141" s="85"/>
      <c r="H141" s="86"/>
      <c r="I141" s="86"/>
      <c r="J141" s="86"/>
      <c r="K141" s="86"/>
      <c r="L141" s="86"/>
      <c r="M141" s="86"/>
      <c r="N141" s="86"/>
      <c r="O141" s="84"/>
      <c r="P141" s="85"/>
      <c r="Q141" s="87" t="e">
        <f>+Q139-Q140</f>
        <v>#REF!</v>
      </c>
      <c r="R141" s="87" t="e">
        <f>+R139-R140</f>
        <v>#REF!</v>
      </c>
      <c r="S141" s="88" t="e">
        <f>+Q141-R141</f>
        <v>#REF!</v>
      </c>
      <c r="T141" s="89" t="e">
        <f>IF(R141=0,"NA",(+Q141-R141)/R141)</f>
        <v>#REF!</v>
      </c>
      <c r="U141" s="69"/>
      <c r="V141" s="87" t="e">
        <f>+V139-V140</f>
        <v>#REF!</v>
      </c>
      <c r="W141" s="87" t="e">
        <f>+W139-W140</f>
        <v>#REF!</v>
      </c>
      <c r="X141" s="693" t="s">
        <v>371</v>
      </c>
      <c r="Y141" s="1069"/>
    </row>
    <row r="142" spans="1:26" ht="15" thickBot="1" x14ac:dyDescent="0.4">
      <c r="T142" s="4"/>
      <c r="V142" s="43"/>
      <c r="Y142" s="1152"/>
    </row>
    <row r="143" spans="1:26" ht="29.5" thickBot="1" x14ac:dyDescent="0.4">
      <c r="B143" s="1115" t="s">
        <v>445</v>
      </c>
      <c r="C143" s="1187"/>
      <c r="D143" s="1072"/>
      <c r="E143" s="828"/>
      <c r="F143" s="828"/>
      <c r="G143" s="828"/>
      <c r="H143" s="1188"/>
      <c r="I143" s="1188"/>
      <c r="J143" s="1188"/>
      <c r="K143" s="1188"/>
      <c r="L143" s="1188"/>
      <c r="M143" s="1188"/>
      <c r="N143" s="1188"/>
      <c r="O143" s="827"/>
      <c r="P143" s="828"/>
      <c r="Q143" s="1189" t="s">
        <v>505</v>
      </c>
      <c r="R143" s="1189" t="s">
        <v>453</v>
      </c>
      <c r="S143" s="1189" t="s">
        <v>9</v>
      </c>
      <c r="T143" s="1189" t="s">
        <v>454</v>
      </c>
      <c r="U143" s="1190"/>
      <c r="V143" s="1361" t="s">
        <v>638</v>
      </c>
      <c r="W143" s="1361"/>
      <c r="X143" s="1361"/>
      <c r="Y143" s="1361"/>
    </row>
    <row r="144" spans="1:26" x14ac:dyDescent="0.35">
      <c r="B144" s="1191" t="s">
        <v>692</v>
      </c>
      <c r="C144" s="1183"/>
      <c r="D144" s="1183"/>
      <c r="E144" s="1184"/>
      <c r="F144" s="1184"/>
      <c r="G144" s="1184"/>
      <c r="H144" s="1185"/>
      <c r="I144" s="1185"/>
      <c r="J144" s="1185"/>
      <c r="K144" s="1185"/>
      <c r="L144" s="1185"/>
      <c r="M144" s="1185"/>
      <c r="N144" s="1185"/>
      <c r="O144" s="1186"/>
      <c r="P144" s="1121" t="s">
        <v>783</v>
      </c>
      <c r="Q144" s="821">
        <v>500</v>
      </c>
      <c r="R144" s="821">
        <v>0</v>
      </c>
      <c r="S144" s="821">
        <v>0</v>
      </c>
      <c r="T144" s="818">
        <f t="shared" ref="T144" si="62">+Q144+R144-S144</f>
        <v>500</v>
      </c>
      <c r="U144" s="1182"/>
      <c r="V144" s="1396" t="s">
        <v>693</v>
      </c>
      <c r="W144" s="1396"/>
      <c r="X144" s="1396"/>
      <c r="Y144" s="1396"/>
    </row>
    <row r="145" spans="1:26" x14ac:dyDescent="0.35">
      <c r="B145" s="1113" t="s">
        <v>446</v>
      </c>
      <c r="P145" s="36" t="s">
        <v>793</v>
      </c>
      <c r="Q145" s="48">
        <v>270</v>
      </c>
      <c r="R145" s="48">
        <v>0</v>
      </c>
      <c r="S145" s="48">
        <v>0</v>
      </c>
      <c r="T145" s="1">
        <f t="shared" ref="T145:T168" si="63">+Q145+R145-S145</f>
        <v>270</v>
      </c>
      <c r="V145" s="1358"/>
      <c r="W145" s="1358"/>
      <c r="X145" s="1358"/>
      <c r="Y145" s="1358"/>
    </row>
    <row r="146" spans="1:26" x14ac:dyDescent="0.35">
      <c r="B146" s="1114" t="s">
        <v>447</v>
      </c>
      <c r="C146" s="1071"/>
      <c r="D146" s="1071"/>
      <c r="E146" s="820"/>
      <c r="F146" s="819"/>
      <c r="G146" s="819"/>
      <c r="H146" s="819"/>
      <c r="I146" s="819"/>
      <c r="J146" s="819"/>
      <c r="K146" s="819"/>
      <c r="L146" s="819"/>
      <c r="M146" s="819"/>
      <c r="N146" s="819"/>
      <c r="O146" s="818"/>
      <c r="P146" s="819" t="s">
        <v>783</v>
      </c>
      <c r="Q146" s="821">
        <v>3666.57</v>
      </c>
      <c r="R146" s="821">
        <v>550</v>
      </c>
      <c r="S146" s="821">
        <v>454.99</v>
      </c>
      <c r="T146" s="818">
        <f t="shared" si="63"/>
        <v>3761.58</v>
      </c>
      <c r="U146" s="1120"/>
      <c r="V146" s="1393"/>
      <c r="W146" s="1393"/>
      <c r="X146" s="1393"/>
      <c r="Y146" s="1393"/>
    </row>
    <row r="147" spans="1:26" x14ac:dyDescent="0.35">
      <c r="B147" s="1075" t="s">
        <v>694</v>
      </c>
      <c r="C147" s="1075"/>
      <c r="E147" s="971"/>
      <c r="F147" s="53"/>
      <c r="G147" s="53"/>
      <c r="H147" s="53"/>
      <c r="I147" s="53"/>
      <c r="J147" s="53"/>
      <c r="K147" s="53"/>
      <c r="L147" s="53"/>
      <c r="M147" s="53"/>
      <c r="N147" s="53"/>
      <c r="O147" s="46"/>
      <c r="P147" s="53" t="s">
        <v>783</v>
      </c>
      <c r="Q147" s="48">
        <v>0</v>
      </c>
      <c r="R147" s="48">
        <v>950</v>
      </c>
      <c r="S147" s="48">
        <v>950</v>
      </c>
      <c r="T147" s="1">
        <f t="shared" ref="T147" si="64">+Q147+R147-S147</f>
        <v>0</v>
      </c>
      <c r="U147" s="335"/>
      <c r="V147" s="1398" t="s">
        <v>695</v>
      </c>
      <c r="W147" s="1398"/>
      <c r="X147" s="1398"/>
      <c r="Y147" s="1398"/>
    </row>
    <row r="148" spans="1:26" x14ac:dyDescent="0.35">
      <c r="B148" s="1114" t="s">
        <v>448</v>
      </c>
      <c r="C148" s="1071"/>
      <c r="D148" s="1071"/>
      <c r="E148" s="819"/>
      <c r="F148" s="819"/>
      <c r="G148" s="819"/>
      <c r="H148" s="819"/>
      <c r="I148" s="819"/>
      <c r="J148" s="819"/>
      <c r="K148" s="819"/>
      <c r="L148" s="819"/>
      <c r="M148" s="819"/>
      <c r="N148" s="819"/>
      <c r="O148" s="818"/>
      <c r="P148" s="819" t="s">
        <v>783</v>
      </c>
      <c r="Q148" s="821">
        <v>74.78</v>
      </c>
      <c r="R148" s="821">
        <v>27</v>
      </c>
      <c r="S148" s="821">
        <v>0</v>
      </c>
      <c r="T148" s="818">
        <f t="shared" si="63"/>
        <v>101.78</v>
      </c>
      <c r="U148" s="1120"/>
      <c r="V148" s="1367" t="s">
        <v>696</v>
      </c>
      <c r="W148" s="1367"/>
      <c r="X148" s="1367"/>
      <c r="Y148" s="1367"/>
    </row>
    <row r="149" spans="1:26" ht="28.5" customHeight="1" x14ac:dyDescent="0.35">
      <c r="B149" s="1075" t="s">
        <v>795</v>
      </c>
      <c r="C149" s="1075"/>
      <c r="E149" s="971"/>
      <c r="F149" s="53"/>
      <c r="G149" s="53"/>
      <c r="H149" s="53"/>
      <c r="I149" s="53"/>
      <c r="J149" s="53"/>
      <c r="K149" s="53"/>
      <c r="L149" s="53"/>
      <c r="M149" s="53"/>
      <c r="N149" s="53"/>
      <c r="O149" s="46"/>
      <c r="P149" s="53" t="s">
        <v>794</v>
      </c>
      <c r="Q149" s="48">
        <v>0</v>
      </c>
      <c r="R149" s="48">
        <v>0</v>
      </c>
      <c r="S149" s="48">
        <v>0</v>
      </c>
      <c r="T149" s="1">
        <f t="shared" si="63"/>
        <v>0</v>
      </c>
      <c r="U149" s="335"/>
      <c r="V149" s="1398" t="s">
        <v>697</v>
      </c>
      <c r="W149" s="1398"/>
      <c r="X149" s="1398"/>
      <c r="Y149" s="1398"/>
    </row>
    <row r="150" spans="1:26" x14ac:dyDescent="0.35">
      <c r="A150" s="1"/>
      <c r="B150" s="1114" t="s">
        <v>449</v>
      </c>
      <c r="C150" s="1071"/>
      <c r="D150" s="1071"/>
      <c r="E150" s="819"/>
      <c r="F150" s="819"/>
      <c r="G150" s="819"/>
      <c r="H150" s="819"/>
      <c r="I150" s="819"/>
      <c r="J150" s="819"/>
      <c r="K150" s="819"/>
      <c r="L150" s="819"/>
      <c r="M150" s="819"/>
      <c r="N150" s="819"/>
      <c r="O150" s="818"/>
      <c r="P150" s="819" t="s">
        <v>796</v>
      </c>
      <c r="Q150" s="821">
        <v>2608.6</v>
      </c>
      <c r="R150" s="821">
        <v>0</v>
      </c>
      <c r="S150" s="821">
        <v>55.55</v>
      </c>
      <c r="T150" s="818">
        <f t="shared" si="63"/>
        <v>2553.0499999999997</v>
      </c>
      <c r="U150" s="1120"/>
      <c r="V150" s="1367" t="s">
        <v>772</v>
      </c>
      <c r="W150" s="1367"/>
      <c r="X150" s="1367"/>
      <c r="Y150" s="1367"/>
      <c r="Z150" s="2"/>
    </row>
    <row r="151" spans="1:26" x14ac:dyDescent="0.35">
      <c r="A151" s="1"/>
      <c r="B151" s="1049" t="s">
        <v>450</v>
      </c>
      <c r="P151" s="36" t="s">
        <v>797</v>
      </c>
      <c r="Q151" s="48">
        <v>12805.91</v>
      </c>
      <c r="R151" s="48">
        <v>9920.93</v>
      </c>
      <c r="S151" s="48">
        <v>4624.97</v>
      </c>
      <c r="T151" s="1">
        <f t="shared" si="63"/>
        <v>18101.87</v>
      </c>
      <c r="V151" s="1336" t="s">
        <v>698</v>
      </c>
      <c r="W151" s="1336"/>
      <c r="X151" s="1336"/>
      <c r="Y151" s="1336"/>
    </row>
    <row r="152" spans="1:26" x14ac:dyDescent="0.35">
      <c r="A152" s="1"/>
      <c r="B152" s="1071" t="s">
        <v>451</v>
      </c>
      <c r="C152" s="1071"/>
      <c r="D152" s="1071"/>
      <c r="E152" s="819"/>
      <c r="F152" s="819"/>
      <c r="G152" s="819"/>
      <c r="H152" s="819"/>
      <c r="I152" s="819"/>
      <c r="J152" s="819"/>
      <c r="K152" s="819"/>
      <c r="L152" s="819"/>
      <c r="M152" s="819"/>
      <c r="N152" s="819"/>
      <c r="O152" s="818"/>
      <c r="P152" s="819" t="s">
        <v>797</v>
      </c>
      <c r="Q152" s="821">
        <v>3819.8</v>
      </c>
      <c r="R152" s="821">
        <v>0</v>
      </c>
      <c r="S152" s="821">
        <v>0</v>
      </c>
      <c r="T152" s="818">
        <f t="shared" si="63"/>
        <v>3819.8</v>
      </c>
      <c r="U152" s="1120"/>
      <c r="V152" s="1367"/>
      <c r="W152" s="1367"/>
      <c r="X152" s="1367"/>
      <c r="Y152" s="1367"/>
    </row>
    <row r="153" spans="1:26" x14ac:dyDescent="0.35">
      <c r="B153" s="1049" t="s">
        <v>452</v>
      </c>
      <c r="P153" s="36" t="s">
        <v>798</v>
      </c>
      <c r="Q153" s="48">
        <v>5105.99</v>
      </c>
      <c r="R153" s="48">
        <v>1510</v>
      </c>
      <c r="S153" s="48">
        <v>748.31</v>
      </c>
      <c r="T153" s="1">
        <f t="shared" si="63"/>
        <v>5867.68</v>
      </c>
      <c r="V153" s="1336"/>
      <c r="W153" s="1336"/>
      <c r="X153" s="1336"/>
      <c r="Y153" s="1336"/>
    </row>
    <row r="154" spans="1:26" x14ac:dyDescent="0.35">
      <c r="A154" s="1"/>
      <c r="B154" s="1071" t="s">
        <v>113</v>
      </c>
      <c r="C154" s="1071"/>
      <c r="D154" s="1071"/>
      <c r="E154" s="819"/>
      <c r="F154" s="819"/>
      <c r="G154" s="819"/>
      <c r="H154" s="819"/>
      <c r="I154" s="819"/>
      <c r="J154" s="819"/>
      <c r="K154" s="819"/>
      <c r="L154" s="819"/>
      <c r="M154" s="819"/>
      <c r="N154" s="819"/>
      <c r="O154" s="818"/>
      <c r="P154" s="819" t="s">
        <v>791</v>
      </c>
      <c r="Q154" s="821">
        <v>17778.62</v>
      </c>
      <c r="R154" s="821">
        <v>0</v>
      </c>
      <c r="S154" s="821">
        <v>0</v>
      </c>
      <c r="T154" s="818">
        <f t="shared" si="63"/>
        <v>17778.62</v>
      </c>
      <c r="U154" s="1120"/>
      <c r="V154" s="1367"/>
      <c r="W154" s="1367"/>
      <c r="X154" s="1367"/>
      <c r="Y154" s="1367"/>
    </row>
    <row r="155" spans="1:26" x14ac:dyDescent="0.35">
      <c r="A155" s="1"/>
      <c r="B155" s="1049" t="s">
        <v>456</v>
      </c>
      <c r="P155" s="36" t="s">
        <v>797</v>
      </c>
      <c r="Q155" s="48">
        <v>850</v>
      </c>
      <c r="R155" s="48">
        <v>0</v>
      </c>
      <c r="S155" s="48">
        <v>0</v>
      </c>
      <c r="T155" s="1">
        <f t="shared" si="63"/>
        <v>850</v>
      </c>
      <c r="V155" s="1336"/>
      <c r="W155" s="1336"/>
      <c r="X155" s="1336"/>
      <c r="Y155" s="1336"/>
    </row>
    <row r="156" spans="1:26" x14ac:dyDescent="0.35">
      <c r="A156" s="1"/>
      <c r="B156" s="1071" t="s">
        <v>457</v>
      </c>
      <c r="C156" s="1071"/>
      <c r="D156" s="1071"/>
      <c r="E156" s="819"/>
      <c r="F156" s="819"/>
      <c r="G156" s="819"/>
      <c r="H156" s="819"/>
      <c r="I156" s="819"/>
      <c r="J156" s="819"/>
      <c r="K156" s="819"/>
      <c r="L156" s="819"/>
      <c r="M156" s="819"/>
      <c r="N156" s="819"/>
      <c r="O156" s="818"/>
      <c r="P156" s="819" t="s">
        <v>783</v>
      </c>
      <c r="Q156" s="821">
        <v>0</v>
      </c>
      <c r="R156" s="821">
        <v>0</v>
      </c>
      <c r="S156" s="821">
        <v>0</v>
      </c>
      <c r="T156" s="818">
        <f t="shared" si="63"/>
        <v>0</v>
      </c>
      <c r="U156" s="1120"/>
      <c r="V156" s="1367" t="s">
        <v>699</v>
      </c>
      <c r="W156" s="1367"/>
      <c r="X156" s="1367"/>
      <c r="Y156" s="1367"/>
    </row>
    <row r="157" spans="1:26" x14ac:dyDescent="0.35">
      <c r="A157" s="1"/>
      <c r="B157" s="1049" t="s">
        <v>458</v>
      </c>
      <c r="P157" s="36" t="s">
        <v>799</v>
      </c>
      <c r="Q157" s="48">
        <v>248.12</v>
      </c>
      <c r="R157" s="48">
        <v>25</v>
      </c>
      <c r="S157" s="48">
        <v>0</v>
      </c>
      <c r="T157" s="1">
        <f t="shared" si="63"/>
        <v>273.12</v>
      </c>
      <c r="V157" s="1336"/>
      <c r="W157" s="1336"/>
      <c r="X157" s="1336"/>
      <c r="Y157" s="1336"/>
    </row>
    <row r="158" spans="1:26" x14ac:dyDescent="0.35">
      <c r="A158" s="1"/>
      <c r="B158" s="1071" t="s">
        <v>459</v>
      </c>
      <c r="C158" s="1071"/>
      <c r="D158" s="1071"/>
      <c r="E158" s="819"/>
      <c r="F158" s="819"/>
      <c r="G158" s="819"/>
      <c r="H158" s="819"/>
      <c r="I158" s="819"/>
      <c r="J158" s="819"/>
      <c r="K158" s="819"/>
      <c r="L158" s="819"/>
      <c r="M158" s="819"/>
      <c r="N158" s="819"/>
      <c r="O158" s="818"/>
      <c r="P158" s="819" t="s">
        <v>787</v>
      </c>
      <c r="Q158" s="821">
        <v>4654.04</v>
      </c>
      <c r="R158" s="821">
        <v>0</v>
      </c>
      <c r="S158" s="821">
        <v>0</v>
      </c>
      <c r="T158" s="818">
        <f t="shared" si="63"/>
        <v>4654.04</v>
      </c>
      <c r="U158" s="1120"/>
      <c r="V158" s="1367" t="s">
        <v>771</v>
      </c>
      <c r="W158" s="1367"/>
      <c r="X158" s="1367"/>
      <c r="Y158" s="1367"/>
    </row>
    <row r="159" spans="1:26" s="46" customFormat="1" ht="28.5" customHeight="1" x14ac:dyDescent="0.35">
      <c r="B159" s="1075" t="s">
        <v>700</v>
      </c>
      <c r="C159" s="1075"/>
      <c r="D159" s="1075"/>
      <c r="E159" s="53"/>
      <c r="F159" s="53"/>
      <c r="G159" s="53"/>
      <c r="H159" s="53"/>
      <c r="I159" s="53"/>
      <c r="J159" s="53"/>
      <c r="K159" s="53"/>
      <c r="L159" s="53"/>
      <c r="M159" s="53"/>
      <c r="N159" s="53"/>
      <c r="P159" s="53" t="s">
        <v>787</v>
      </c>
      <c r="Q159" s="48">
        <v>11250</v>
      </c>
      <c r="R159" s="48">
        <v>0</v>
      </c>
      <c r="S159" s="48">
        <v>3517.14</v>
      </c>
      <c r="T159" s="1">
        <f t="shared" ref="T159:T161" si="65">+Q159+R159-S159</f>
        <v>7732.8600000000006</v>
      </c>
      <c r="U159" s="335"/>
      <c r="V159" s="1366" t="s">
        <v>701</v>
      </c>
      <c r="W159" s="1366"/>
      <c r="X159" s="1366"/>
      <c r="Y159" s="1366"/>
    </row>
    <row r="160" spans="1:26" s="46" customFormat="1" x14ac:dyDescent="0.35">
      <c r="B160" s="1357" t="s">
        <v>702</v>
      </c>
      <c r="C160" s="1357"/>
      <c r="D160" s="1357"/>
      <c r="E160" s="819"/>
      <c r="F160" s="819"/>
      <c r="G160" s="819"/>
      <c r="H160" s="819"/>
      <c r="I160" s="819"/>
      <c r="J160" s="819"/>
      <c r="K160" s="819"/>
      <c r="L160" s="819"/>
      <c r="M160" s="819"/>
      <c r="N160" s="819"/>
      <c r="O160" s="818"/>
      <c r="P160" s="819" t="s">
        <v>783</v>
      </c>
      <c r="Q160" s="821">
        <v>1500</v>
      </c>
      <c r="R160" s="821">
        <v>0</v>
      </c>
      <c r="S160" s="821">
        <v>156</v>
      </c>
      <c r="T160" s="818">
        <f t="shared" si="65"/>
        <v>1344</v>
      </c>
      <c r="U160" s="1120"/>
      <c r="V160" s="1367" t="s">
        <v>703</v>
      </c>
      <c r="W160" s="1367"/>
      <c r="X160" s="1367"/>
      <c r="Y160" s="1367"/>
    </row>
    <row r="161" spans="1:25" s="46" customFormat="1" x14ac:dyDescent="0.35">
      <c r="B161" s="1049" t="s">
        <v>646</v>
      </c>
      <c r="C161" s="1049"/>
      <c r="D161" s="1075"/>
      <c r="E161" s="53"/>
      <c r="F161" s="36"/>
      <c r="G161" s="36"/>
      <c r="H161" s="36"/>
      <c r="I161" s="36"/>
      <c r="J161" s="36"/>
      <c r="K161" s="36"/>
      <c r="L161" s="36"/>
      <c r="M161" s="36"/>
      <c r="N161" s="36"/>
      <c r="O161" s="1"/>
      <c r="P161" s="36" t="s">
        <v>790</v>
      </c>
      <c r="Q161" s="48">
        <v>1200</v>
      </c>
      <c r="R161" s="48">
        <v>151.13</v>
      </c>
      <c r="S161" s="48">
        <v>734.93</v>
      </c>
      <c r="T161" s="1">
        <f t="shared" si="65"/>
        <v>616.20000000000016</v>
      </c>
      <c r="U161" s="334"/>
      <c r="V161" s="1336" t="s">
        <v>704</v>
      </c>
      <c r="W161" s="1336"/>
      <c r="X161" s="1336"/>
      <c r="Y161" s="1336"/>
    </row>
    <row r="162" spans="1:25" x14ac:dyDescent="0.35">
      <c r="A162" s="1"/>
      <c r="B162" s="1071" t="s">
        <v>705</v>
      </c>
      <c r="C162" s="1071"/>
      <c r="D162" s="1071"/>
      <c r="E162" s="819"/>
      <c r="F162" s="819"/>
      <c r="G162" s="819"/>
      <c r="H162" s="819"/>
      <c r="I162" s="819"/>
      <c r="J162" s="819"/>
      <c r="K162" s="819"/>
      <c r="L162" s="819"/>
      <c r="M162" s="819"/>
      <c r="N162" s="819"/>
      <c r="O162" s="818"/>
      <c r="P162" s="819" t="s">
        <v>790</v>
      </c>
      <c r="Q162" s="821">
        <v>10759.81</v>
      </c>
      <c r="R162" s="821">
        <v>0</v>
      </c>
      <c r="S162" s="821">
        <v>0</v>
      </c>
      <c r="T162" s="818">
        <f t="shared" si="63"/>
        <v>10759.81</v>
      </c>
      <c r="U162" s="1120"/>
      <c r="V162" s="1367" t="s">
        <v>706</v>
      </c>
      <c r="W162" s="1367"/>
      <c r="X162" s="1367"/>
      <c r="Y162" s="1367"/>
    </row>
    <row r="163" spans="1:25" x14ac:dyDescent="0.35">
      <c r="A163" s="1"/>
      <c r="B163" s="1075" t="s">
        <v>229</v>
      </c>
      <c r="C163" s="1075"/>
      <c r="F163" s="53"/>
      <c r="G163" s="53"/>
      <c r="H163" s="53"/>
      <c r="I163" s="53"/>
      <c r="J163" s="53"/>
      <c r="K163" s="53"/>
      <c r="L163" s="53"/>
      <c r="M163" s="53"/>
      <c r="N163" s="53"/>
      <c r="O163" s="46"/>
      <c r="P163" s="53" t="s">
        <v>783</v>
      </c>
      <c r="Q163" s="50">
        <v>5193.01</v>
      </c>
      <c r="R163" s="50">
        <v>1000</v>
      </c>
      <c r="S163" s="50">
        <v>0</v>
      </c>
      <c r="T163" s="46">
        <f t="shared" si="63"/>
        <v>6193.01</v>
      </c>
      <c r="U163" s="335"/>
      <c r="V163" s="1366" t="s">
        <v>707</v>
      </c>
      <c r="W163" s="1366"/>
      <c r="X163" s="1366"/>
      <c r="Y163" s="1366"/>
    </row>
    <row r="164" spans="1:25" x14ac:dyDescent="0.35">
      <c r="A164" s="1"/>
      <c r="B164" s="1071" t="s">
        <v>460</v>
      </c>
      <c r="C164" s="1071"/>
      <c r="D164" s="1071"/>
      <c r="E164" s="819"/>
      <c r="F164" s="819"/>
      <c r="G164" s="819"/>
      <c r="H164" s="819"/>
      <c r="I164" s="819"/>
      <c r="J164" s="819"/>
      <c r="K164" s="819"/>
      <c r="L164" s="819"/>
      <c r="M164" s="819"/>
      <c r="N164" s="819"/>
      <c r="O164" s="818"/>
      <c r="P164" s="819" t="s">
        <v>787</v>
      </c>
      <c r="Q164" s="821">
        <v>1253.58</v>
      </c>
      <c r="R164" s="821">
        <v>779</v>
      </c>
      <c r="S164" s="821">
        <v>562.52</v>
      </c>
      <c r="T164" s="818">
        <f t="shared" si="63"/>
        <v>1470.06</v>
      </c>
      <c r="U164" s="1120"/>
      <c r="V164" s="1367" t="s">
        <v>708</v>
      </c>
      <c r="W164" s="1367"/>
      <c r="X164" s="1367"/>
      <c r="Y164" s="1367"/>
    </row>
    <row r="165" spans="1:25" x14ac:dyDescent="0.35">
      <c r="A165" s="1"/>
      <c r="B165" s="1192" t="s">
        <v>461</v>
      </c>
      <c r="C165" s="1192"/>
      <c r="D165" s="1192"/>
      <c r="E165" s="1193"/>
      <c r="F165" s="1193"/>
      <c r="G165" s="1193"/>
      <c r="H165" s="1193"/>
      <c r="I165" s="1193"/>
      <c r="J165" s="1193"/>
      <c r="K165" s="1193"/>
      <c r="L165" s="1193"/>
      <c r="M165" s="1193"/>
      <c r="N165" s="1193"/>
      <c r="O165" s="1194"/>
      <c r="P165" s="1193" t="s">
        <v>346</v>
      </c>
      <c r="Q165" s="1195">
        <v>3806.11</v>
      </c>
      <c r="R165" s="1195">
        <v>0</v>
      </c>
      <c r="S165" s="1195">
        <v>125.79</v>
      </c>
      <c r="T165" s="1194">
        <f t="shared" si="63"/>
        <v>3680.32</v>
      </c>
      <c r="U165" s="1196"/>
      <c r="V165" s="1368" t="s">
        <v>709</v>
      </c>
      <c r="W165" s="1368"/>
      <c r="X165" s="1368"/>
      <c r="Y165" s="1368"/>
    </row>
    <row r="166" spans="1:25" x14ac:dyDescent="0.35">
      <c r="A166" s="1"/>
      <c r="B166" s="1071" t="s">
        <v>462</v>
      </c>
      <c r="C166" s="1071"/>
      <c r="D166" s="1071"/>
      <c r="E166" s="819"/>
      <c r="F166" s="819"/>
      <c r="G166" s="819"/>
      <c r="H166" s="819"/>
      <c r="I166" s="819"/>
      <c r="J166" s="819"/>
      <c r="K166" s="819"/>
      <c r="L166" s="819"/>
      <c r="M166" s="819"/>
      <c r="N166" s="819"/>
      <c r="O166" s="818"/>
      <c r="P166" s="819" t="s">
        <v>788</v>
      </c>
      <c r="Q166" s="821">
        <v>552</v>
      </c>
      <c r="R166" s="821">
        <v>0</v>
      </c>
      <c r="S166" s="821">
        <v>0</v>
      </c>
      <c r="T166" s="818">
        <f t="shared" si="63"/>
        <v>552</v>
      </c>
      <c r="U166" s="1120"/>
      <c r="V166" s="1369"/>
      <c r="W166" s="1369"/>
      <c r="X166" s="1369"/>
      <c r="Y166" s="1369"/>
    </row>
    <row r="167" spans="1:25" x14ac:dyDescent="0.35">
      <c r="A167" s="1"/>
      <c r="B167" s="1075" t="s">
        <v>463</v>
      </c>
      <c r="C167" s="1075"/>
      <c r="F167" s="53"/>
      <c r="G167" s="53"/>
      <c r="H167" s="53"/>
      <c r="I167" s="53"/>
      <c r="J167" s="53"/>
      <c r="K167" s="53"/>
      <c r="L167" s="53"/>
      <c r="M167" s="53"/>
      <c r="N167" s="53"/>
      <c r="O167" s="46"/>
      <c r="P167" s="53" t="s">
        <v>791</v>
      </c>
      <c r="Q167" s="50">
        <v>5088.47</v>
      </c>
      <c r="R167" s="50">
        <v>0</v>
      </c>
      <c r="S167" s="50">
        <v>0</v>
      </c>
      <c r="T167" s="46">
        <f t="shared" si="63"/>
        <v>5088.47</v>
      </c>
      <c r="U167" s="335"/>
      <c r="V167" s="1366" t="s">
        <v>710</v>
      </c>
      <c r="W167" s="1366"/>
      <c r="X167" s="1366"/>
      <c r="Y167" s="1366"/>
    </row>
    <row r="168" spans="1:25" ht="15" thickBot="1" x14ac:dyDescent="0.4">
      <c r="A168" s="1"/>
      <c r="B168" s="1071" t="s">
        <v>464</v>
      </c>
      <c r="C168" s="1071"/>
      <c r="D168" s="1071"/>
      <c r="E168" s="819"/>
      <c r="F168" s="819"/>
      <c r="G168" s="819"/>
      <c r="H168" s="819"/>
      <c r="I168" s="819"/>
      <c r="J168" s="819"/>
      <c r="K168" s="819"/>
      <c r="L168" s="819"/>
      <c r="M168" s="819"/>
      <c r="N168" s="819"/>
      <c r="O168" s="818"/>
      <c r="P168" s="819" t="s">
        <v>812</v>
      </c>
      <c r="Q168" s="821">
        <v>1268.8499999999999</v>
      </c>
      <c r="R168" s="821">
        <v>50</v>
      </c>
      <c r="S168" s="821">
        <v>503.46</v>
      </c>
      <c r="T168" s="818">
        <f t="shared" si="63"/>
        <v>815.38999999999987</v>
      </c>
      <c r="U168" s="1120"/>
      <c r="V168" s="1360" t="s">
        <v>711</v>
      </c>
      <c r="W168" s="1360"/>
      <c r="X168" s="1360"/>
      <c r="Y168" s="1360"/>
    </row>
    <row r="169" spans="1:25" ht="15" thickBot="1" x14ac:dyDescent="0.4">
      <c r="B169" s="1115" t="s">
        <v>465</v>
      </c>
      <c r="C169" s="1072"/>
      <c r="D169" s="1072"/>
      <c r="E169" s="828"/>
      <c r="F169" s="828"/>
      <c r="G169" s="828"/>
      <c r="H169" s="828"/>
      <c r="I169" s="828"/>
      <c r="J169" s="828"/>
      <c r="K169" s="828"/>
      <c r="L169" s="828"/>
      <c r="M169" s="828"/>
      <c r="N169" s="828"/>
      <c r="O169" s="827"/>
      <c r="P169" s="828"/>
      <c r="Q169" s="829">
        <f>SUM(Q144:Q168)</f>
        <v>94254.260000000009</v>
      </c>
      <c r="R169" s="829">
        <f>SUM(R144:R168)</f>
        <v>14963.06</v>
      </c>
      <c r="S169" s="829">
        <f>SUM(S144:S168)</f>
        <v>12433.66</v>
      </c>
      <c r="T169" s="829">
        <f>SUM(T144:T168)</f>
        <v>96783.659999999989</v>
      </c>
      <c r="U169" s="827"/>
      <c r="V169" s="1361"/>
      <c r="W169" s="1361"/>
      <c r="X169" s="1361"/>
      <c r="Y169" s="1361"/>
    </row>
    <row r="170" spans="1:25" ht="15" thickBot="1" x14ac:dyDescent="0.4"/>
    <row r="171" spans="1:25" ht="29.5" thickBot="1" x14ac:dyDescent="0.4">
      <c r="B171" s="1111" t="s">
        <v>71</v>
      </c>
      <c r="C171" s="1112"/>
      <c r="D171" s="1070"/>
      <c r="E171" s="823"/>
      <c r="F171" s="823"/>
      <c r="G171" s="823"/>
      <c r="H171" s="824"/>
      <c r="I171" s="824"/>
      <c r="J171" s="824"/>
      <c r="K171" s="824"/>
      <c r="L171" s="824"/>
      <c r="M171" s="824"/>
      <c r="N171" s="824"/>
      <c r="O171" s="822"/>
      <c r="P171" s="823"/>
      <c r="Q171" s="825" t="s">
        <v>455</v>
      </c>
      <c r="R171" s="825" t="s">
        <v>453</v>
      </c>
      <c r="S171" s="825" t="s">
        <v>9</v>
      </c>
      <c r="T171" s="825" t="s">
        <v>454</v>
      </c>
      <c r="U171" s="826"/>
      <c r="V171" s="1362"/>
      <c r="W171" s="1362"/>
      <c r="X171" s="1362"/>
      <c r="Y171" s="1363"/>
    </row>
    <row r="172" spans="1:25" x14ac:dyDescent="0.35">
      <c r="B172" s="1124" t="s">
        <v>466</v>
      </c>
      <c r="C172" s="1079"/>
      <c r="D172" s="1080"/>
      <c r="E172" s="336"/>
      <c r="F172" s="337"/>
      <c r="G172" s="337"/>
      <c r="H172" s="337"/>
      <c r="I172" s="337"/>
      <c r="J172" s="337"/>
      <c r="K172" s="337"/>
      <c r="L172" s="337"/>
      <c r="M172" s="337"/>
      <c r="N172" s="337"/>
      <c r="O172" s="334"/>
      <c r="P172" s="337" t="s">
        <v>809</v>
      </c>
      <c r="Q172" s="338">
        <v>33675.99</v>
      </c>
      <c r="R172" s="338">
        <v>1060</v>
      </c>
      <c r="S172" s="338">
        <v>239.69</v>
      </c>
      <c r="T172" s="334">
        <f t="shared" ref="T172:T177" si="66">+Q172+R172-S172</f>
        <v>34496.299999999996</v>
      </c>
      <c r="V172" s="1364" t="s">
        <v>643</v>
      </c>
      <c r="W172" s="1364"/>
      <c r="X172" s="1364"/>
      <c r="Y172" s="1365"/>
    </row>
    <row r="173" spans="1:25" x14ac:dyDescent="0.35">
      <c r="B173" s="1125" t="s">
        <v>310</v>
      </c>
      <c r="C173" s="1126"/>
      <c r="D173" s="1126"/>
      <c r="E173" s="1127"/>
      <c r="F173" s="1121"/>
      <c r="G173" s="1121"/>
      <c r="H173" s="1121"/>
      <c r="I173" s="1121"/>
      <c r="J173" s="1121"/>
      <c r="K173" s="1121"/>
      <c r="L173" s="1121"/>
      <c r="M173" s="1121"/>
      <c r="N173" s="1121"/>
      <c r="O173" s="1120"/>
      <c r="P173" s="1121" t="s">
        <v>810</v>
      </c>
      <c r="Q173" s="1128">
        <v>101904.66</v>
      </c>
      <c r="R173" s="1128">
        <v>0</v>
      </c>
      <c r="S173" s="1128">
        <v>0</v>
      </c>
      <c r="T173" s="1120">
        <f t="shared" si="66"/>
        <v>101904.66</v>
      </c>
      <c r="U173" s="1120"/>
      <c r="V173" s="1129"/>
      <c r="W173" s="1129"/>
      <c r="X173" s="1129"/>
      <c r="Y173" s="1130"/>
    </row>
    <row r="174" spans="1:25" ht="14.5" customHeight="1" x14ac:dyDescent="0.35">
      <c r="B174" s="1124" t="s">
        <v>467</v>
      </c>
      <c r="C174" s="1079"/>
      <c r="D174" s="1080"/>
      <c r="E174" s="336"/>
      <c r="F174" s="337"/>
      <c r="G174" s="337"/>
      <c r="H174" s="337"/>
      <c r="I174" s="337"/>
      <c r="J174" s="337"/>
      <c r="K174" s="337"/>
      <c r="L174" s="337"/>
      <c r="M174" s="337"/>
      <c r="N174" s="337"/>
      <c r="O174" s="334"/>
      <c r="P174" s="336" t="s">
        <v>810</v>
      </c>
      <c r="Q174" s="338">
        <v>236749.2</v>
      </c>
      <c r="R174" s="338">
        <v>14137.5</v>
      </c>
      <c r="S174" s="338">
        <v>13100</v>
      </c>
      <c r="T174" s="334">
        <f t="shared" si="66"/>
        <v>237786.7</v>
      </c>
      <c r="V174" s="1358" t="s">
        <v>639</v>
      </c>
      <c r="W174" s="1358"/>
      <c r="X174" s="1358"/>
      <c r="Y174" s="1359"/>
    </row>
    <row r="175" spans="1:25" ht="14.5" customHeight="1" x14ac:dyDescent="0.35">
      <c r="B175" s="1124" t="s">
        <v>640</v>
      </c>
      <c r="C175" s="1079"/>
      <c r="D175" s="1080"/>
      <c r="E175" s="336"/>
      <c r="F175" s="337"/>
      <c r="G175" s="337"/>
      <c r="H175" s="337"/>
      <c r="I175" s="337"/>
      <c r="J175" s="337"/>
      <c r="K175" s="337"/>
      <c r="L175" s="337"/>
      <c r="M175" s="337"/>
      <c r="N175" s="337"/>
      <c r="O175" s="334"/>
      <c r="P175" s="336" t="s">
        <v>810</v>
      </c>
      <c r="Q175" s="338">
        <v>15000</v>
      </c>
      <c r="R175" s="338">
        <v>0</v>
      </c>
      <c r="S175" s="338">
        <v>0</v>
      </c>
      <c r="T175" s="334">
        <f t="shared" si="66"/>
        <v>15000</v>
      </c>
      <c r="V175" s="1358" t="s">
        <v>641</v>
      </c>
      <c r="W175" s="1358"/>
      <c r="X175" s="1358"/>
      <c r="Y175" s="1359"/>
    </row>
    <row r="176" spans="1:25" ht="14.5" customHeight="1" x14ac:dyDescent="0.35">
      <c r="B176" s="1124" t="s">
        <v>311</v>
      </c>
      <c r="C176" s="1079"/>
      <c r="D176" s="1080"/>
      <c r="E176" s="336"/>
      <c r="F176" s="337"/>
      <c r="G176" s="337"/>
      <c r="H176" s="337"/>
      <c r="I176" s="337"/>
      <c r="J176" s="337"/>
      <c r="K176" s="337"/>
      <c r="L176" s="337"/>
      <c r="M176" s="337"/>
      <c r="N176" s="337"/>
      <c r="O176" s="334"/>
      <c r="P176" s="336" t="s">
        <v>810</v>
      </c>
      <c r="Q176" s="338">
        <v>53860</v>
      </c>
      <c r="R176" s="338">
        <v>0</v>
      </c>
      <c r="S176" s="338">
        <v>0</v>
      </c>
      <c r="T176" s="334">
        <f t="shared" si="66"/>
        <v>53860</v>
      </c>
      <c r="V176" s="1358"/>
      <c r="W176" s="1358"/>
      <c r="X176" s="1358"/>
      <c r="Y176" s="1359"/>
    </row>
    <row r="177" spans="2:25" ht="15" thickBot="1" x14ac:dyDescent="0.4">
      <c r="B177" s="1125" t="s">
        <v>642</v>
      </c>
      <c r="C177" s="1126"/>
      <c r="D177" s="1126"/>
      <c r="E177" s="1127"/>
      <c r="F177" s="1121"/>
      <c r="G177" s="1121"/>
      <c r="H177" s="1121"/>
      <c r="I177" s="1121"/>
      <c r="J177" s="1121"/>
      <c r="K177" s="1121"/>
      <c r="L177" s="1121"/>
      <c r="M177" s="1121"/>
      <c r="N177" s="1121"/>
      <c r="O177" s="1120"/>
      <c r="P177" s="1121" t="s">
        <v>811</v>
      </c>
      <c r="Q177" s="1128">
        <v>40000</v>
      </c>
      <c r="R177" s="1128">
        <v>0</v>
      </c>
      <c r="S177" s="1128">
        <v>22.04</v>
      </c>
      <c r="T177" s="1120">
        <f t="shared" si="66"/>
        <v>39977.96</v>
      </c>
      <c r="U177" s="1120"/>
      <c r="V177" s="1129"/>
      <c r="W177" s="1129"/>
      <c r="X177" s="1129"/>
      <c r="Y177" s="1130"/>
    </row>
    <row r="178" spans="2:25" ht="15" thickBot="1" x14ac:dyDescent="0.4">
      <c r="B178" s="1115" t="s">
        <v>74</v>
      </c>
      <c r="C178" s="1072"/>
      <c r="D178" s="1072"/>
      <c r="E178" s="828"/>
      <c r="F178" s="828"/>
      <c r="G178" s="828"/>
      <c r="H178" s="828"/>
      <c r="I178" s="828"/>
      <c r="J178" s="828"/>
      <c r="K178" s="828"/>
      <c r="L178" s="828"/>
      <c r="M178" s="828"/>
      <c r="N178" s="828"/>
      <c r="O178" s="827"/>
      <c r="P178" s="828"/>
      <c r="Q178" s="829">
        <f>SUM(Q172:Q177)</f>
        <v>481189.85</v>
      </c>
      <c r="R178" s="829">
        <f>SUM(R172:R177)</f>
        <v>15197.5</v>
      </c>
      <c r="S178" s="829">
        <f>SUM(S172:S177)</f>
        <v>13361.730000000001</v>
      </c>
      <c r="T178" s="829">
        <f>SUM(T172:T177)</f>
        <v>483025.62000000005</v>
      </c>
      <c r="U178" s="829"/>
      <c r="V178" s="1122"/>
      <c r="W178" s="1122"/>
      <c r="X178" s="1122"/>
      <c r="Y178" s="1123"/>
    </row>
  </sheetData>
  <mergeCells count="55">
    <mergeCell ref="J66:K66"/>
    <mergeCell ref="V162:Y162"/>
    <mergeCell ref="V153:Y153"/>
    <mergeCell ref="V154:Y154"/>
    <mergeCell ref="V155:Y155"/>
    <mergeCell ref="V156:Y156"/>
    <mergeCell ref="V157:Y157"/>
    <mergeCell ref="V158:Y158"/>
    <mergeCell ref="V159:Y159"/>
    <mergeCell ref="V160:Y160"/>
    <mergeCell ref="V161:Y161"/>
    <mergeCell ref="V152:Y152"/>
    <mergeCell ref="V151:Y151"/>
    <mergeCell ref="V147:Y147"/>
    <mergeCell ref="V149:Y149"/>
    <mergeCell ref="V146:Y146"/>
    <mergeCell ref="V148:Y148"/>
    <mergeCell ref="V150:Y150"/>
    <mergeCell ref="C122:D122"/>
    <mergeCell ref="C103:D103"/>
    <mergeCell ref="V145:Y145"/>
    <mergeCell ref="V143:Y143"/>
    <mergeCell ref="V144:Y144"/>
    <mergeCell ref="B1:Y1"/>
    <mergeCell ref="O66:O67"/>
    <mergeCell ref="Q2:T2"/>
    <mergeCell ref="V2:X2"/>
    <mergeCell ref="S3:T3"/>
    <mergeCell ref="V3:V4"/>
    <mergeCell ref="W3:W4"/>
    <mergeCell ref="X3:X4"/>
    <mergeCell ref="Q3:Q4"/>
    <mergeCell ref="R3:R4"/>
    <mergeCell ref="E64:H64"/>
    <mergeCell ref="E62:M62"/>
    <mergeCell ref="G67:H67"/>
    <mergeCell ref="C28:D28"/>
    <mergeCell ref="G66:H66"/>
    <mergeCell ref="I64:L64"/>
    <mergeCell ref="P3:P4"/>
    <mergeCell ref="B160:D160"/>
    <mergeCell ref="V174:Y174"/>
    <mergeCell ref="V175:Y175"/>
    <mergeCell ref="V176:Y176"/>
    <mergeCell ref="V168:Y168"/>
    <mergeCell ref="V169:Y169"/>
    <mergeCell ref="V171:Y171"/>
    <mergeCell ref="V172:Y172"/>
    <mergeCell ref="V163:Y163"/>
    <mergeCell ref="V164:Y164"/>
    <mergeCell ref="V165:Y165"/>
    <mergeCell ref="V166:Y166"/>
    <mergeCell ref="V167:Y167"/>
    <mergeCell ref="C93:D93"/>
    <mergeCell ref="G77:H77"/>
  </mergeCells>
  <pageMargins left="0" right="0" top="0.25" bottom="0.5" header="0.3" footer="0.3"/>
  <pageSetup scale="60" fitToHeight="0" orientation="portrait"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3" customWidth="1"/>
    <col min="4" max="4" width="15.7265625" style="299" customWidth="1"/>
    <col min="5" max="5" width="10.1796875" style="299" customWidth="1"/>
    <col min="6" max="6" width="13.90625" style="299" customWidth="1"/>
    <col min="7" max="7" width="11.26953125" style="323"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418" t="s">
        <v>80</v>
      </c>
      <c r="B1" s="1418"/>
      <c r="C1" s="1418"/>
      <c r="D1" s="1418"/>
      <c r="E1" s="1418"/>
      <c r="F1" s="1418"/>
      <c r="G1" s="1418"/>
      <c r="H1" s="1418"/>
      <c r="I1" s="1418"/>
    </row>
    <row r="2" spans="1:9" ht="18.5" customHeight="1" x14ac:dyDescent="0.35">
      <c r="A2" s="1419" t="s">
        <v>341</v>
      </c>
      <c r="B2" s="1419"/>
      <c r="C2" s="1419"/>
      <c r="D2" s="1419"/>
      <c r="E2" s="1419"/>
      <c r="F2" s="1419"/>
      <c r="G2" s="1419"/>
      <c r="H2" s="1419"/>
      <c r="I2" s="1419"/>
    </row>
    <row r="3" spans="1:9" ht="18.5" customHeight="1" thickBot="1" x14ac:dyDescent="0.4">
      <c r="A3" s="616"/>
      <c r="B3" s="616"/>
      <c r="C3" s="616"/>
      <c r="D3" s="616"/>
      <c r="E3" s="616"/>
      <c r="F3" s="616"/>
      <c r="G3" s="1419"/>
      <c r="H3" s="1419"/>
      <c r="I3" s="616"/>
    </row>
    <row r="4" spans="1:9" ht="18.5" customHeight="1" x14ac:dyDescent="0.35">
      <c r="A4" s="1399" t="s">
        <v>340</v>
      </c>
      <c r="B4" s="1400"/>
      <c r="C4" s="1400"/>
      <c r="D4" s="1400"/>
      <c r="E4" s="658"/>
      <c r="F4" s="1411" t="str">
        <f>+'New Year-Full Year'!Q3&amp;" Proposed"</f>
        <v>2025 Budget Proposed</v>
      </c>
      <c r="G4" s="1411" t="str">
        <f>+'New Year-Full Year'!Q3&amp;" Current"</f>
        <v>2025 Budget Current</v>
      </c>
      <c r="H4" s="1411" t="str">
        <f>+'New Year-Full Year'!R3</f>
        <v>2024 Budget</v>
      </c>
      <c r="I4" s="659"/>
    </row>
    <row r="5" spans="1:9" ht="38" customHeight="1" thickBot="1" x14ac:dyDescent="0.4">
      <c r="A5" s="660"/>
      <c r="B5" s="661" t="s">
        <v>344</v>
      </c>
      <c r="C5" s="662" t="s">
        <v>349</v>
      </c>
      <c r="D5" s="663" t="s">
        <v>345</v>
      </c>
      <c r="E5" s="663"/>
      <c r="F5" s="1404"/>
      <c r="G5" s="1404"/>
      <c r="H5" s="1404"/>
      <c r="I5" s="664" t="s">
        <v>357</v>
      </c>
    </row>
    <row r="6" spans="1:9" ht="18.5" customHeight="1" x14ac:dyDescent="0.35">
      <c r="A6" s="667" t="s">
        <v>291</v>
      </c>
      <c r="B6" s="668" t="s">
        <v>346</v>
      </c>
      <c r="C6" s="669" t="s">
        <v>350</v>
      </c>
      <c r="D6" s="1412" t="s">
        <v>101</v>
      </c>
      <c r="E6" s="1412"/>
      <c r="F6" s="645">
        <f>ROUND(+H6*1.01,0)-13</f>
        <v>17983</v>
      </c>
      <c r="G6" s="670">
        <f>+'New Year-Full Year'!Q89</f>
        <v>17818</v>
      </c>
      <c r="H6" s="670">
        <f>+'New Year-Full Year'!R89</f>
        <v>17818</v>
      </c>
      <c r="I6" s="1417" t="s">
        <v>369</v>
      </c>
    </row>
    <row r="7" spans="1:9" ht="18.5" customHeight="1" x14ac:dyDescent="0.35">
      <c r="A7" s="671"/>
      <c r="B7" s="647" t="s">
        <v>342</v>
      </c>
      <c r="C7" s="647"/>
      <c r="D7" s="1413"/>
      <c r="E7" s="1413"/>
      <c r="F7" s="648">
        <f>+F6-$H6</f>
        <v>165</v>
      </c>
      <c r="G7" s="649">
        <f>+G6-$H6</f>
        <v>0</v>
      </c>
      <c r="H7" s="647"/>
      <c r="I7" s="1406"/>
    </row>
    <row r="8" spans="1:9" ht="16" thickBot="1" x14ac:dyDescent="0.4">
      <c r="A8" s="312"/>
      <c r="B8" s="304" t="s">
        <v>348</v>
      </c>
      <c r="C8" s="650"/>
      <c r="D8" s="1414"/>
      <c r="E8" s="1414"/>
      <c r="F8" s="690">
        <f>+F7/$H6</f>
        <v>9.2602985744752505E-3</v>
      </c>
      <c r="G8" s="651">
        <f>+G7/$H6</f>
        <v>0</v>
      </c>
      <c r="H8" s="304"/>
      <c r="I8" s="1410"/>
    </row>
    <row r="9" spans="1:9" ht="18.5" customHeight="1" x14ac:dyDescent="0.35">
      <c r="A9" s="672" t="s">
        <v>292</v>
      </c>
      <c r="B9" s="644" t="s">
        <v>347</v>
      </c>
      <c r="C9" s="643" t="s">
        <v>350</v>
      </c>
      <c r="D9" s="1415" t="s">
        <v>364</v>
      </c>
      <c r="E9" s="1415"/>
      <c r="F9" s="645">
        <f>ROUND(+H9*1.01,0)</f>
        <v>3395</v>
      </c>
      <c r="G9" s="646">
        <f>+'New Year-Full Year'!Q90</f>
        <v>3361</v>
      </c>
      <c r="H9" s="646">
        <f>+'New Year-Full Year'!R90</f>
        <v>3361</v>
      </c>
      <c r="I9" s="1417" t="s">
        <v>369</v>
      </c>
    </row>
    <row r="10" spans="1:9" ht="18.5" customHeight="1" x14ac:dyDescent="0.35">
      <c r="A10" s="671"/>
      <c r="B10" s="647" t="s">
        <v>342</v>
      </c>
      <c r="C10" s="647"/>
      <c r="D10" s="1413"/>
      <c r="E10" s="1413"/>
      <c r="F10" s="648">
        <f>+F9-$H9</f>
        <v>34</v>
      </c>
      <c r="G10" s="649">
        <f>+G9-$H9</f>
        <v>0</v>
      </c>
      <c r="H10" s="647"/>
      <c r="I10" s="1406"/>
    </row>
    <row r="11" spans="1:9" x14ac:dyDescent="0.35">
      <c r="A11" s="312"/>
      <c r="B11" s="304" t="s">
        <v>348</v>
      </c>
      <c r="C11" s="650"/>
      <c r="D11" s="1414"/>
      <c r="E11" s="1414"/>
      <c r="F11" s="651">
        <f>+F10/$H9</f>
        <v>1.0116036893781613E-2</v>
      </c>
      <c r="G11" s="651">
        <f>+G10/$H9</f>
        <v>0</v>
      </c>
      <c r="H11" s="304"/>
      <c r="I11" s="1410"/>
    </row>
    <row r="12" spans="1:9" ht="18.5" customHeight="1" x14ac:dyDescent="0.35">
      <c r="A12" s="672" t="s">
        <v>293</v>
      </c>
      <c r="B12" s="644" t="s">
        <v>245</v>
      </c>
      <c r="C12" s="643" t="s">
        <v>350</v>
      </c>
      <c r="D12" s="1415" t="s">
        <v>43</v>
      </c>
      <c r="E12" s="1415"/>
      <c r="F12" s="645">
        <v>7634</v>
      </c>
      <c r="G12" s="646" t="e">
        <f>+'New Year-Full Year'!#REF!</f>
        <v>#REF!</v>
      </c>
      <c r="H12" s="646" t="e">
        <f>+'New Year-Full Year'!#REF!</f>
        <v>#REF!</v>
      </c>
      <c r="I12" s="1405" t="s">
        <v>358</v>
      </c>
    </row>
    <row r="13" spans="1:9" ht="18.5" customHeight="1" x14ac:dyDescent="0.35">
      <c r="A13" s="671"/>
      <c r="B13" s="647" t="s">
        <v>342</v>
      </c>
      <c r="C13" s="647"/>
      <c r="D13" s="1413"/>
      <c r="E13" s="1413"/>
      <c r="F13" s="648" t="e">
        <f>+F12-$H12</f>
        <v>#REF!</v>
      </c>
      <c r="G13" s="649" t="e">
        <f>+G12-$H12</f>
        <v>#REF!</v>
      </c>
      <c r="H13" s="647"/>
      <c r="I13" s="1406"/>
    </row>
    <row r="14" spans="1:9" ht="16" thickBot="1" x14ac:dyDescent="0.4">
      <c r="A14" s="307"/>
      <c r="B14" s="308" t="s">
        <v>348</v>
      </c>
      <c r="C14" s="673"/>
      <c r="D14" s="1416"/>
      <c r="E14" s="1416"/>
      <c r="F14" s="674" t="e">
        <f>+F13/$H12</f>
        <v>#REF!</v>
      </c>
      <c r="G14" s="674" t="e">
        <f>+G13/$H12</f>
        <v>#REF!</v>
      </c>
      <c r="H14" s="308"/>
      <c r="I14" s="1407"/>
    </row>
    <row r="15" spans="1:9" ht="16" thickBot="1" x14ac:dyDescent="0.4"/>
    <row r="16" spans="1:9" ht="18.5" customHeight="1" x14ac:dyDescent="0.35">
      <c r="A16" s="1399" t="s">
        <v>352</v>
      </c>
      <c r="B16" s="1400"/>
      <c r="C16" s="1400"/>
      <c r="D16" s="1400"/>
      <c r="E16" s="658"/>
      <c r="F16" s="1411" t="str">
        <f>+F$4</f>
        <v>2025 Budget Proposed</v>
      </c>
      <c r="G16" s="1411" t="str">
        <f>+G$4</f>
        <v>2025 Budget Current</v>
      </c>
      <c r="H16" s="1411" t="str">
        <f>+H$4</f>
        <v>2024 Budget</v>
      </c>
      <c r="I16" s="659"/>
    </row>
    <row r="17" spans="1:11" ht="38" customHeight="1" thickBot="1" x14ac:dyDescent="0.4">
      <c r="A17" s="660"/>
      <c r="B17" s="661" t="s">
        <v>344</v>
      </c>
      <c r="C17" s="662" t="s">
        <v>353</v>
      </c>
      <c r="D17" s="1404" t="s">
        <v>354</v>
      </c>
      <c r="E17" s="1404"/>
      <c r="F17" s="1404"/>
      <c r="G17" s="1404"/>
      <c r="H17" s="1404"/>
      <c r="I17" s="664" t="str">
        <f>+I$5</f>
        <v>Notes / Rational for change</v>
      </c>
    </row>
    <row r="18" spans="1:11" x14ac:dyDescent="0.35">
      <c r="A18" s="671" t="s">
        <v>291</v>
      </c>
      <c r="B18" s="615" t="s">
        <v>351</v>
      </c>
      <c r="C18" s="665">
        <v>25</v>
      </c>
      <c r="D18" s="656" t="s">
        <v>355</v>
      </c>
      <c r="E18" s="676">
        <v>13.78</v>
      </c>
      <c r="F18" s="666">
        <f>+$C18*$E18*52</f>
        <v>17914</v>
      </c>
      <c r="G18" s="666">
        <f>+$C18*$E19*52</f>
        <v>17914</v>
      </c>
      <c r="H18" s="666">
        <f>+$C18*$E20*52</f>
        <v>17732</v>
      </c>
      <c r="I18" s="1406" t="s">
        <v>370</v>
      </c>
      <c r="K18" s="303"/>
    </row>
    <row r="19" spans="1:11" x14ac:dyDescent="0.35">
      <c r="A19" s="671"/>
      <c r="B19" s="647" t="s">
        <v>342</v>
      </c>
      <c r="C19" s="652"/>
      <c r="D19" s="656" t="s">
        <v>356</v>
      </c>
      <c r="E19" s="676">
        <v>13.78</v>
      </c>
      <c r="F19" s="648">
        <f>+F18-$H18</f>
        <v>182</v>
      </c>
      <c r="G19" s="649">
        <f>+G18-$H18</f>
        <v>182</v>
      </c>
      <c r="H19" s="302"/>
      <c r="I19" s="1406"/>
    </row>
    <row r="20" spans="1:11" x14ac:dyDescent="0.35">
      <c r="A20" s="312"/>
      <c r="B20" s="304" t="s">
        <v>348</v>
      </c>
      <c r="C20" s="650"/>
      <c r="D20" s="657" t="s">
        <v>224</v>
      </c>
      <c r="E20" s="677">
        <v>13.64</v>
      </c>
      <c r="F20" s="651">
        <f>+F19/$H18</f>
        <v>1.0263929618768328E-2</v>
      </c>
      <c r="G20" s="651">
        <f>+G19/$H18</f>
        <v>1.0263929618768328E-2</v>
      </c>
      <c r="H20" s="304"/>
      <c r="I20" s="1410"/>
    </row>
    <row r="21" spans="1:11" x14ac:dyDescent="0.35">
      <c r="A21" s="672" t="s">
        <v>292</v>
      </c>
      <c r="B21" s="644" t="s">
        <v>359</v>
      </c>
      <c r="C21" s="654">
        <v>20</v>
      </c>
      <c r="D21" s="655" t="s">
        <v>355</v>
      </c>
      <c r="E21" s="678">
        <v>11.57</v>
      </c>
      <c r="F21" s="666">
        <f>+$C21*$E21*52</f>
        <v>12032.800000000001</v>
      </c>
      <c r="G21" s="666">
        <f>+$C21*$E22*52</f>
        <v>12157.599999999999</v>
      </c>
      <c r="H21" s="666">
        <f>+$C21*$E23*52</f>
        <v>12032.800000000001</v>
      </c>
      <c r="I21" s="1405" t="s">
        <v>361</v>
      </c>
    </row>
    <row r="22" spans="1:11" x14ac:dyDescent="0.35">
      <c r="A22" s="671"/>
      <c r="B22" s="647" t="s">
        <v>342</v>
      </c>
      <c r="C22" s="652"/>
      <c r="D22" s="656" t="s">
        <v>356</v>
      </c>
      <c r="E22" s="676">
        <v>11.69</v>
      </c>
      <c r="F22" s="648">
        <f>+F21-$H21</f>
        <v>0</v>
      </c>
      <c r="G22" s="649">
        <f>+G21-$H21</f>
        <v>124.79999999999745</v>
      </c>
      <c r="H22" s="302"/>
      <c r="I22" s="1406"/>
    </row>
    <row r="23" spans="1:11" x14ac:dyDescent="0.35">
      <c r="A23" s="312"/>
      <c r="B23" s="304" t="s">
        <v>348</v>
      </c>
      <c r="C23" s="650"/>
      <c r="D23" s="657" t="s">
        <v>224</v>
      </c>
      <c r="E23" s="677">
        <v>11.57</v>
      </c>
      <c r="F23" s="651">
        <f>+F22/$H21</f>
        <v>0</v>
      </c>
      <c r="G23" s="651">
        <f>+G22/$H21</f>
        <v>1.0371650821088811E-2</v>
      </c>
      <c r="H23" s="304"/>
      <c r="I23" s="1410"/>
    </row>
    <row r="24" spans="1:11" ht="15.5" customHeight="1" x14ac:dyDescent="0.35">
      <c r="A24" s="672" t="s">
        <v>293</v>
      </c>
      <c r="B24" s="644" t="s">
        <v>360</v>
      </c>
      <c r="C24" s="654">
        <v>7.5</v>
      </c>
      <c r="D24" s="655" t="s">
        <v>355</v>
      </c>
      <c r="E24" s="678">
        <v>11.22</v>
      </c>
      <c r="F24" s="666">
        <f>+$C24*$E24*52</f>
        <v>4375.8</v>
      </c>
      <c r="G24" s="666">
        <f>+$C24*$E25*52</f>
        <v>4418.7</v>
      </c>
      <c r="H24" s="666">
        <f>+$C24*$E26*52</f>
        <v>4375.8</v>
      </c>
      <c r="I24" s="1405" t="s">
        <v>361</v>
      </c>
    </row>
    <row r="25" spans="1:11" x14ac:dyDescent="0.35">
      <c r="A25" s="671"/>
      <c r="B25" s="647" t="s">
        <v>342</v>
      </c>
      <c r="C25" s="652"/>
      <c r="D25" s="656" t="s">
        <v>356</v>
      </c>
      <c r="E25" s="676">
        <v>11.33</v>
      </c>
      <c r="F25" s="648">
        <f>+F24-$H24</f>
        <v>0</v>
      </c>
      <c r="G25" s="649">
        <f>+G24-$H24</f>
        <v>42.899999999999636</v>
      </c>
      <c r="H25" s="302"/>
      <c r="I25" s="1406"/>
    </row>
    <row r="26" spans="1:11" x14ac:dyDescent="0.35">
      <c r="A26" s="312"/>
      <c r="B26" s="304" t="s">
        <v>348</v>
      </c>
      <c r="C26" s="650"/>
      <c r="D26" s="657" t="s">
        <v>224</v>
      </c>
      <c r="E26" s="677">
        <v>11.22</v>
      </c>
      <c r="F26" s="651">
        <f>+F25/$H24</f>
        <v>0</v>
      </c>
      <c r="G26" s="651">
        <f>+G25/$H24</f>
        <v>9.8039215686273676E-3</v>
      </c>
      <c r="H26" s="304"/>
      <c r="I26" s="1410"/>
    </row>
    <row r="27" spans="1:11" ht="18.5" customHeight="1" x14ac:dyDescent="0.35">
      <c r="A27" s="672" t="s">
        <v>296</v>
      </c>
      <c r="B27" s="644" t="s">
        <v>343</v>
      </c>
      <c r="C27" s="654">
        <v>40</v>
      </c>
      <c r="D27" s="655" t="s">
        <v>355</v>
      </c>
      <c r="E27" s="678">
        <f>ROUND(+E29*1.02,2)</f>
        <v>17.690000000000001</v>
      </c>
      <c r="F27" s="666">
        <f>+$C27*$E27*52</f>
        <v>36795.200000000004</v>
      </c>
      <c r="G27" s="666">
        <f>+$C27*$E28*52</f>
        <v>36420.800000000003</v>
      </c>
      <c r="H27" s="666">
        <f>+$C27*$E29*52</f>
        <v>36067.200000000004</v>
      </c>
      <c r="I27" s="1405" t="s">
        <v>363</v>
      </c>
    </row>
    <row r="28" spans="1:11" ht="18.5" customHeight="1" x14ac:dyDescent="0.35">
      <c r="A28" s="671"/>
      <c r="B28" s="647" t="s">
        <v>342</v>
      </c>
      <c r="C28" s="652"/>
      <c r="D28" s="656" t="s">
        <v>356</v>
      </c>
      <c r="E28" s="676">
        <v>17.510000000000002</v>
      </c>
      <c r="F28" s="648">
        <f>+F27-$H27</f>
        <v>728</v>
      </c>
      <c r="G28" s="649">
        <f>+G27-$H27</f>
        <v>353.59999999999854</v>
      </c>
      <c r="H28" s="302"/>
      <c r="I28" s="1406"/>
    </row>
    <row r="29" spans="1:11" x14ac:dyDescent="0.35">
      <c r="A29" s="312"/>
      <c r="B29" s="304" t="s">
        <v>348</v>
      </c>
      <c r="C29" s="650"/>
      <c r="D29" s="657" t="s">
        <v>224</v>
      </c>
      <c r="E29" s="677">
        <v>17.34</v>
      </c>
      <c r="F29" s="651">
        <f>+F28/$H27</f>
        <v>2.0184544405997689E-2</v>
      </c>
      <c r="G29" s="651">
        <f>+G28/$H27</f>
        <v>9.8039215686274092E-3</v>
      </c>
      <c r="H29" s="304"/>
      <c r="I29" s="1410"/>
    </row>
    <row r="30" spans="1:11" ht="18.5" customHeight="1" x14ac:dyDescent="0.35">
      <c r="A30" s="671" t="s">
        <v>297</v>
      </c>
      <c r="B30" s="615" t="s">
        <v>362</v>
      </c>
      <c r="C30" s="665">
        <v>15</v>
      </c>
      <c r="D30" s="656" t="s">
        <v>355</v>
      </c>
      <c r="E30" s="676">
        <f>ROUND(+E32*(1+0),2)</f>
        <v>14.57</v>
      </c>
      <c r="F30" s="666">
        <f>+$C30*$E30*52</f>
        <v>11364.6</v>
      </c>
      <c r="G30" s="666">
        <f>+$C30*$E31*52</f>
        <v>11481.6</v>
      </c>
      <c r="H30" s="666">
        <f>+$C30*$E32*52</f>
        <v>11364.6</v>
      </c>
      <c r="I30" s="1406" t="s">
        <v>361</v>
      </c>
    </row>
    <row r="31" spans="1:11" ht="18.5" customHeight="1" x14ac:dyDescent="0.35">
      <c r="A31" s="671"/>
      <c r="B31" s="647" t="s">
        <v>342</v>
      </c>
      <c r="C31" s="652"/>
      <c r="D31" s="656" t="s">
        <v>356</v>
      </c>
      <c r="E31" s="676">
        <v>14.72</v>
      </c>
      <c r="F31" s="648">
        <f>+F30-$H30</f>
        <v>0</v>
      </c>
      <c r="G31" s="649">
        <f>+G30-$H30</f>
        <v>117</v>
      </c>
      <c r="H31" s="302"/>
      <c r="I31" s="1406"/>
    </row>
    <row r="32" spans="1:11" ht="16" thickBot="1" x14ac:dyDescent="0.4">
      <c r="A32" s="307"/>
      <c r="B32" s="308" t="s">
        <v>348</v>
      </c>
      <c r="C32" s="673"/>
      <c r="D32" s="685" t="s">
        <v>224</v>
      </c>
      <c r="E32" s="686">
        <v>14.57</v>
      </c>
      <c r="F32" s="689">
        <f>+F31/$H30</f>
        <v>0</v>
      </c>
      <c r="G32" s="674">
        <f>+G31/$H30</f>
        <v>1.029512697323267E-2</v>
      </c>
      <c r="H32" s="308"/>
      <c r="I32" s="1407"/>
    </row>
    <row r="33" spans="1:9" ht="16" thickBot="1" x14ac:dyDescent="0.4">
      <c r="A33" s="302"/>
      <c r="B33" s="302"/>
      <c r="C33" s="652"/>
      <c r="D33" s="656"/>
      <c r="E33" s="676"/>
      <c r="F33" s="653"/>
      <c r="G33" s="653"/>
      <c r="H33" s="302"/>
      <c r="I33" s="675"/>
    </row>
    <row r="34" spans="1:9" ht="18" x14ac:dyDescent="0.35">
      <c r="A34" s="1399" t="s">
        <v>303</v>
      </c>
      <c r="B34" s="1400"/>
      <c r="C34" s="1400"/>
      <c r="D34" s="1400"/>
      <c r="E34" s="1400"/>
      <c r="F34" s="1411" t="str">
        <f>+F$4</f>
        <v>2025 Budget Proposed</v>
      </c>
      <c r="G34" s="1411" t="str">
        <f>+G$4</f>
        <v>2025 Budget Current</v>
      </c>
      <c r="H34" s="1411" t="str">
        <f>+H$4</f>
        <v>2024 Budget</v>
      </c>
      <c r="I34" s="659"/>
    </row>
    <row r="35" spans="1:9" ht="34" customHeight="1" thickBot="1" x14ac:dyDescent="0.4">
      <c r="A35" s="1401"/>
      <c r="B35" s="1402"/>
      <c r="C35" s="1402"/>
      <c r="D35" s="1402"/>
      <c r="E35" s="1402"/>
      <c r="F35" s="1404"/>
      <c r="G35" s="1404"/>
      <c r="H35" s="1404"/>
      <c r="I35" s="664" t="str">
        <f>+I$5</f>
        <v>Notes / Rational for change</v>
      </c>
    </row>
    <row r="36" spans="1:9" x14ac:dyDescent="0.35">
      <c r="A36" s="312" t="s">
        <v>365</v>
      </c>
      <c r="B36" s="304"/>
      <c r="C36" s="650"/>
      <c r="D36" s="304"/>
      <c r="E36" s="304"/>
      <c r="F36" s="682">
        <f>+G36</f>
        <v>14264</v>
      </c>
      <c r="G36" s="682">
        <f>3650+10614</f>
        <v>14264</v>
      </c>
      <c r="H36" s="682">
        <f>3501+12642+1</f>
        <v>16144</v>
      </c>
      <c r="I36" s="313"/>
    </row>
    <row r="37" spans="1:9" x14ac:dyDescent="0.35">
      <c r="A37" s="683" t="s">
        <v>46</v>
      </c>
      <c r="B37" s="679"/>
      <c r="C37" s="680"/>
      <c r="D37" s="679"/>
      <c r="E37" s="679"/>
      <c r="F37" s="681">
        <f>+G37</f>
        <v>30259</v>
      </c>
      <c r="G37" s="681">
        <f>800+500+13800+3000+3375+1500+2759+1000+400+700+925+1500</f>
        <v>30259</v>
      </c>
      <c r="H37" s="681">
        <f>800+500+13800+3000+3375+1500+2759+1000+400+700+925+1500</f>
        <v>30259</v>
      </c>
      <c r="I37" s="684" t="s">
        <v>367</v>
      </c>
    </row>
    <row r="38" spans="1:9" x14ac:dyDescent="0.35">
      <c r="A38" s="1408" t="s">
        <v>366</v>
      </c>
      <c r="B38" s="1409"/>
      <c r="C38" s="654"/>
      <c r="D38" s="655"/>
      <c r="E38" s="678"/>
      <c r="F38" s="688">
        <f>+G38</f>
        <v>188497</v>
      </c>
      <c r="G38" s="688">
        <f>102099+86398</f>
        <v>188497</v>
      </c>
      <c r="H38" s="688">
        <f>100670+48251+18950+8843</f>
        <v>176714</v>
      </c>
      <c r="I38" s="1405" t="s">
        <v>368</v>
      </c>
    </row>
    <row r="39" spans="1:9" x14ac:dyDescent="0.35">
      <c r="A39" s="671"/>
      <c r="B39" s="647"/>
      <c r="C39" s="652"/>
      <c r="D39" s="656"/>
      <c r="E39" s="676"/>
      <c r="F39" s="648">
        <f>+F38-$H38</f>
        <v>11783</v>
      </c>
      <c r="G39" s="649">
        <f>+G38-$H38</f>
        <v>11783</v>
      </c>
      <c r="H39" s="302"/>
      <c r="I39" s="1406"/>
    </row>
    <row r="40" spans="1:9" ht="16" thickBot="1" x14ac:dyDescent="0.4">
      <c r="A40" s="307"/>
      <c r="B40" s="308"/>
      <c r="C40" s="673"/>
      <c r="D40" s="685"/>
      <c r="E40" s="686"/>
      <c r="F40" s="674">
        <f>+F39/$H38</f>
        <v>6.667836164650226E-2</v>
      </c>
      <c r="G40" s="674">
        <f>+G39/$H38</f>
        <v>6.667836164650226E-2</v>
      </c>
      <c r="H40" s="308"/>
      <c r="I40" s="1407"/>
    </row>
    <row r="41" spans="1:9" ht="16" thickBot="1" x14ac:dyDescent="0.4"/>
    <row r="42" spans="1:9" ht="18" x14ac:dyDescent="0.35">
      <c r="A42" s="1399" t="s">
        <v>53</v>
      </c>
      <c r="B42" s="1400"/>
      <c r="C42" s="1400"/>
      <c r="D42" s="1400"/>
      <c r="E42" s="1400"/>
      <c r="F42" s="1403">
        <f>+F6+F9+F12+F18+F21+F24+F27+F30+F36+F37+F38</f>
        <v>344514.4</v>
      </c>
      <c r="G42" s="1403" t="e">
        <f>+G6+G9+G12+G18+G21+G24+G27+G30+G36+G37+G38</f>
        <v>#REF!</v>
      </c>
      <c r="H42" s="1403" t="e">
        <f>+H6+H9+H12+H18+H21+H24+H27+H30+H36+H37+H38</f>
        <v>#REF!</v>
      </c>
      <c r="I42" s="659"/>
    </row>
    <row r="43" spans="1:9" ht="18.5" thickBot="1" x14ac:dyDescent="0.4">
      <c r="A43" s="1401"/>
      <c r="B43" s="1402"/>
      <c r="C43" s="1402"/>
      <c r="D43" s="1402"/>
      <c r="E43" s="1402"/>
      <c r="F43" s="1404"/>
      <c r="G43" s="1404"/>
      <c r="H43" s="1404"/>
      <c r="I43" s="664"/>
    </row>
    <row r="45" spans="1:9" x14ac:dyDescent="0.35">
      <c r="F45" s="687"/>
      <c r="G45" s="642"/>
      <c r="H45" s="687"/>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opLeftCell="A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420" t="s">
        <v>712</v>
      </c>
      <c r="B2" s="1420"/>
      <c r="C2" s="1420"/>
      <c r="D2" s="1420"/>
      <c r="E2" s="1420"/>
      <c r="F2" s="1420"/>
      <c r="G2" s="1420"/>
      <c r="H2" s="1420"/>
    </row>
    <row r="4" spans="1:10" ht="29" customHeight="1" x14ac:dyDescent="0.35">
      <c r="B4" s="1421" t="s">
        <v>713</v>
      </c>
      <c r="C4" s="1422"/>
      <c r="D4" s="1423" t="s">
        <v>741</v>
      </c>
      <c r="E4" s="1424"/>
      <c r="F4" s="1425"/>
      <c r="G4" s="1423" t="s">
        <v>567</v>
      </c>
      <c r="H4" s="1425"/>
    </row>
    <row r="5" spans="1:10" ht="29" x14ac:dyDescent="0.35">
      <c r="A5" s="745" t="s">
        <v>746</v>
      </c>
      <c r="B5" s="1234">
        <v>2025</v>
      </c>
      <c r="C5" s="1229" t="s">
        <v>638</v>
      </c>
      <c r="D5" s="1219" t="s">
        <v>742</v>
      </c>
      <c r="E5" s="1235" t="s">
        <v>743</v>
      </c>
      <c r="F5" s="1236" t="s">
        <v>744</v>
      </c>
      <c r="G5" s="1219" t="s">
        <v>740</v>
      </c>
      <c r="H5" s="1220" t="s">
        <v>603</v>
      </c>
    </row>
    <row r="6" spans="1:10" x14ac:dyDescent="0.35">
      <c r="A6" s="109" t="s">
        <v>602</v>
      </c>
      <c r="B6" s="1221">
        <v>1008</v>
      </c>
      <c r="C6" s="1225"/>
      <c r="D6" s="1230">
        <v>1008</v>
      </c>
      <c r="E6" s="1230"/>
      <c r="F6" s="1226">
        <f>+G6-D6-E6</f>
        <v>0</v>
      </c>
      <c r="G6" s="1221">
        <v>1008</v>
      </c>
      <c r="H6" s="344" t="s">
        <v>604</v>
      </c>
    </row>
    <row r="7" spans="1:10" x14ac:dyDescent="0.35">
      <c r="A7" s="109" t="s">
        <v>605</v>
      </c>
      <c r="B7" s="1221">
        <v>1370</v>
      </c>
      <c r="C7" s="1225"/>
      <c r="D7" s="1230">
        <v>908.79</v>
      </c>
      <c r="E7" s="1231"/>
      <c r="F7" s="1226">
        <f t="shared" ref="F7:F15" si="0">+G7-D7-E7</f>
        <v>439.41000000000008</v>
      </c>
      <c r="G7" s="1221">
        <v>1348.2</v>
      </c>
      <c r="H7" s="344" t="s">
        <v>604</v>
      </c>
    </row>
    <row r="8" spans="1:10" x14ac:dyDescent="0.35">
      <c r="A8" s="109" t="s">
        <v>745</v>
      </c>
      <c r="B8" s="1221">
        <f>75*12</f>
        <v>900</v>
      </c>
      <c r="C8" s="344"/>
      <c r="D8" s="1230"/>
      <c r="E8" s="1237">
        <v>333.78</v>
      </c>
      <c r="F8" s="1226">
        <f t="shared" si="0"/>
        <v>-333.78</v>
      </c>
      <c r="G8" s="123"/>
      <c r="H8" s="344"/>
    </row>
    <row r="9" spans="1:10" x14ac:dyDescent="0.35">
      <c r="A9" s="109" t="s">
        <v>606</v>
      </c>
      <c r="B9" s="1221">
        <v>400</v>
      </c>
      <c r="C9" s="1225"/>
      <c r="D9" s="1230">
        <v>258.75</v>
      </c>
      <c r="E9" s="1230"/>
      <c r="F9" s="1226">
        <f t="shared" si="0"/>
        <v>241.25</v>
      </c>
      <c r="G9" s="1221">
        <v>500</v>
      </c>
      <c r="H9" s="344" t="s">
        <v>604</v>
      </c>
    </row>
    <row r="10" spans="1:10" x14ac:dyDescent="0.35">
      <c r="A10" s="109" t="s">
        <v>607</v>
      </c>
      <c r="B10" s="1221">
        <v>300</v>
      </c>
      <c r="C10" s="1225"/>
      <c r="D10" s="1230"/>
      <c r="E10" s="1230"/>
      <c r="F10" s="1226">
        <f t="shared" si="0"/>
        <v>300</v>
      </c>
      <c r="G10" s="1221">
        <v>300</v>
      </c>
      <c r="H10" s="344" t="s">
        <v>604</v>
      </c>
    </row>
    <row r="11" spans="1:10" x14ac:dyDescent="0.35">
      <c r="A11" s="109" t="s">
        <v>650</v>
      </c>
      <c r="B11" s="1221">
        <v>1900</v>
      </c>
      <c r="C11" s="1225"/>
      <c r="D11" s="1230">
        <v>1256.94</v>
      </c>
      <c r="E11" s="1231"/>
      <c r="F11" s="1226">
        <f t="shared" si="0"/>
        <v>663.06</v>
      </c>
      <c r="G11" s="1221">
        <v>1920</v>
      </c>
      <c r="H11" s="344" t="s">
        <v>228</v>
      </c>
    </row>
    <row r="12" spans="1:10" x14ac:dyDescent="0.35">
      <c r="A12" s="109" t="s">
        <v>608</v>
      </c>
      <c r="B12" s="1221">
        <v>1500</v>
      </c>
      <c r="C12" s="1225"/>
      <c r="D12" s="1230">
        <v>988.42</v>
      </c>
      <c r="E12" s="1231"/>
      <c r="F12" s="1226">
        <f t="shared" si="0"/>
        <v>434.78000000000009</v>
      </c>
      <c r="G12" s="1221">
        <v>1423.2</v>
      </c>
      <c r="H12" s="344" t="s">
        <v>228</v>
      </c>
    </row>
    <row r="13" spans="1:10" ht="44" customHeight="1" x14ac:dyDescent="0.35">
      <c r="A13" s="109" t="s">
        <v>612</v>
      </c>
      <c r="B13" s="1221">
        <v>0</v>
      </c>
      <c r="C13" s="1253" t="s">
        <v>773</v>
      </c>
      <c r="D13" s="1230">
        <v>0</v>
      </c>
      <c r="E13" s="1230"/>
      <c r="F13" s="1226">
        <f t="shared" si="0"/>
        <v>2000</v>
      </c>
      <c r="G13" s="1221">
        <v>2000</v>
      </c>
      <c r="H13" s="1222" t="s">
        <v>613</v>
      </c>
    </row>
    <row r="14" spans="1:10" x14ac:dyDescent="0.35">
      <c r="A14" s="109" t="s">
        <v>614</v>
      </c>
      <c r="B14" s="1221">
        <v>500</v>
      </c>
      <c r="C14" s="1225"/>
      <c r="D14" s="1230">
        <f>29.99+75</f>
        <v>104.99</v>
      </c>
      <c r="E14" s="1230"/>
      <c r="F14" s="1226">
        <f t="shared" si="0"/>
        <v>595.61</v>
      </c>
      <c r="G14" s="1221">
        <v>700.6</v>
      </c>
      <c r="H14" s="344"/>
    </row>
    <row r="15" spans="1:10" x14ac:dyDescent="0.35">
      <c r="A15" s="109" t="s">
        <v>609</v>
      </c>
      <c r="B15" s="1221">
        <v>250</v>
      </c>
      <c r="C15" s="1225"/>
      <c r="D15" s="1230">
        <v>134.32</v>
      </c>
      <c r="E15" s="1231"/>
      <c r="F15" s="1226">
        <f t="shared" si="0"/>
        <v>165.68</v>
      </c>
      <c r="G15" s="1221">
        <v>300</v>
      </c>
      <c r="H15" s="344" t="s">
        <v>604</v>
      </c>
      <c r="J15" s="1031"/>
    </row>
    <row r="16" spans="1:10" x14ac:dyDescent="0.35">
      <c r="A16" s="876" t="s">
        <v>610</v>
      </c>
      <c r="B16" s="1238">
        <f>SUM(B6:B15)</f>
        <v>8128</v>
      </c>
      <c r="C16" s="1239"/>
      <c r="D16" s="1240">
        <f>SUM(D6:D15)</f>
        <v>4660.2099999999991</v>
      </c>
      <c r="E16" s="1240">
        <f t="shared" ref="E16:F16" si="1">SUM(E6:E15)</f>
        <v>333.78</v>
      </c>
      <c r="F16" s="1240">
        <f t="shared" si="1"/>
        <v>4506.01</v>
      </c>
      <c r="G16" s="1238">
        <f>SUM(G6:G15)</f>
        <v>9500</v>
      </c>
      <c r="H16" s="1241"/>
    </row>
    <row r="17" spans="1:8" x14ac:dyDescent="0.35">
      <c r="B17" s="123"/>
      <c r="C17" s="344"/>
      <c r="D17" s="257"/>
      <c r="E17" s="257"/>
      <c r="F17" s="344"/>
      <c r="G17" s="123"/>
      <c r="H17" s="344"/>
    </row>
    <row r="18" spans="1:8" x14ac:dyDescent="0.35">
      <c r="A18" s="109" t="s">
        <v>615</v>
      </c>
      <c r="B18" s="1224"/>
      <c r="C18" s="1228"/>
      <c r="D18" s="1233"/>
      <c r="E18" s="1233"/>
      <c r="F18" s="1228"/>
      <c r="G18" s="1224">
        <f>+G6+G7+G9+G10+G15</f>
        <v>3456.2</v>
      </c>
      <c r="H18" s="344"/>
    </row>
    <row r="19" spans="1:8" x14ac:dyDescent="0.35">
      <c r="A19" s="109" t="s">
        <v>616</v>
      </c>
      <c r="B19" s="1224"/>
      <c r="C19" s="1228"/>
      <c r="D19" s="1233"/>
      <c r="E19" s="1233"/>
      <c r="F19" s="1228"/>
      <c r="G19" s="1224">
        <f>+G11+G12</f>
        <v>3343.2</v>
      </c>
      <c r="H19" s="344"/>
    </row>
    <row r="20" spans="1:8" x14ac:dyDescent="0.35">
      <c r="A20" s="744" t="s">
        <v>617</v>
      </c>
      <c r="B20" s="1223"/>
      <c r="C20" s="1227"/>
      <c r="D20" s="1232"/>
      <c r="E20" s="1232"/>
      <c r="F20" s="1227"/>
      <c r="G20" s="1223">
        <f>+G16-G18-G19</f>
        <v>2700.6000000000004</v>
      </c>
      <c r="H20" s="344"/>
    </row>
    <row r="21" spans="1:8" ht="5" customHeight="1" x14ac:dyDescent="0.35">
      <c r="B21" s="1224"/>
      <c r="C21" s="1228"/>
      <c r="D21" s="1233"/>
      <c r="E21" s="1233"/>
      <c r="F21" s="1228"/>
      <c r="G21" s="1224"/>
      <c r="H21" s="344"/>
    </row>
    <row r="22" spans="1:8" ht="7.5" customHeight="1" x14ac:dyDescent="0.35">
      <c r="B22" s="123"/>
      <c r="C22" s="344"/>
      <c r="D22" s="257"/>
      <c r="E22" s="257"/>
      <c r="F22" s="344"/>
      <c r="G22" s="123"/>
      <c r="H22" s="344"/>
    </row>
    <row r="23" spans="1:8" ht="18.5" x14ac:dyDescent="0.35">
      <c r="A23" s="745" t="s">
        <v>611</v>
      </c>
      <c r="B23" s="123"/>
      <c r="C23" s="344"/>
      <c r="D23" s="257"/>
      <c r="E23" s="257"/>
      <c r="F23" s="344"/>
      <c r="G23" s="123"/>
      <c r="H23" s="344"/>
    </row>
    <row r="24" spans="1:8" ht="29" x14ac:dyDescent="0.35">
      <c r="A24" s="109" t="s">
        <v>618</v>
      </c>
      <c r="B24" s="1221"/>
      <c r="C24" s="1225"/>
      <c r="D24" s="1230"/>
      <c r="E24" s="1230"/>
      <c r="F24" s="1226">
        <f t="shared" ref="F24:F29" si="2">+G24-D24-E24</f>
        <v>2000</v>
      </c>
      <c r="G24" s="1221">
        <v>2000</v>
      </c>
      <c r="H24" s="1222" t="s">
        <v>748</v>
      </c>
    </row>
    <row r="25" spans="1:8" x14ac:dyDescent="0.35">
      <c r="A25" s="109" t="s">
        <v>619</v>
      </c>
      <c r="B25" s="1221"/>
      <c r="C25" s="1225"/>
      <c r="D25" s="1230"/>
      <c r="E25" s="1230"/>
      <c r="F25" s="1226">
        <f t="shared" si="2"/>
        <v>500</v>
      </c>
      <c r="G25" s="1221">
        <v>500</v>
      </c>
      <c r="H25" s="344"/>
    </row>
    <row r="26" spans="1:8" ht="87" x14ac:dyDescent="0.35">
      <c r="A26" s="109" t="s">
        <v>620</v>
      </c>
      <c r="B26" s="1221"/>
      <c r="C26" s="1225"/>
      <c r="D26" s="1230"/>
      <c r="E26" s="1230"/>
      <c r="F26" s="1226">
        <f t="shared" si="2"/>
        <v>1000</v>
      </c>
      <c r="G26" s="1221">
        <v>1000</v>
      </c>
      <c r="H26" s="1222" t="s">
        <v>651</v>
      </c>
    </row>
    <row r="27" spans="1:8" x14ac:dyDescent="0.35">
      <c r="A27" s="109" t="s">
        <v>621</v>
      </c>
      <c r="B27" s="1221"/>
      <c r="C27" s="1225"/>
      <c r="D27" s="1230">
        <v>3517.14</v>
      </c>
      <c r="E27" s="1230"/>
      <c r="F27" s="1226">
        <f t="shared" si="2"/>
        <v>1482.8600000000001</v>
      </c>
      <c r="G27" s="1221">
        <v>5000</v>
      </c>
      <c r="H27" s="344"/>
    </row>
    <row r="28" spans="1:8" ht="29" x14ac:dyDescent="0.35">
      <c r="A28" s="109" t="s">
        <v>623</v>
      </c>
      <c r="B28" s="1221"/>
      <c r="C28" s="1225"/>
      <c r="D28" s="1230"/>
      <c r="E28" s="1230"/>
      <c r="F28" s="1226">
        <f t="shared" si="2"/>
        <v>2500</v>
      </c>
      <c r="G28" s="1221">
        <v>2500</v>
      </c>
      <c r="H28" s="1222" t="s">
        <v>652</v>
      </c>
    </row>
    <row r="29" spans="1:8" ht="29" x14ac:dyDescent="0.35">
      <c r="A29" s="109" t="s">
        <v>622</v>
      </c>
      <c r="B29" s="1221"/>
      <c r="C29" s="1225"/>
      <c r="D29" s="1230"/>
      <c r="E29" s="1230"/>
      <c r="F29" s="1226">
        <f t="shared" si="2"/>
        <v>250</v>
      </c>
      <c r="G29" s="1221">
        <v>250</v>
      </c>
      <c r="H29" s="1222" t="s">
        <v>653</v>
      </c>
    </row>
    <row r="30" spans="1:8" x14ac:dyDescent="0.35">
      <c r="A30" s="876" t="s">
        <v>747</v>
      </c>
      <c r="B30" s="1242"/>
      <c r="C30" s="1243"/>
      <c r="D30" s="1244">
        <f t="shared" ref="D30:F30" si="3">SUM(D24:D29)</f>
        <v>3517.14</v>
      </c>
      <c r="E30" s="1244">
        <f t="shared" si="3"/>
        <v>0</v>
      </c>
      <c r="F30" s="1243">
        <f t="shared" si="3"/>
        <v>7732.8600000000006</v>
      </c>
      <c r="G30" s="1242">
        <f>SUM(G24:G29)</f>
        <v>11250</v>
      </c>
      <c r="H30" s="1245"/>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9" workbookViewId="0">
      <selection activeCell="K23" sqref="K23"/>
    </sheetView>
  </sheetViews>
  <sheetFormatPr defaultRowHeight="14.5" x14ac:dyDescent="0.35"/>
  <cols>
    <col min="1" max="1" width="37.6328125" style="109" customWidth="1"/>
    <col min="2" max="2" width="10.90625" style="109" customWidth="1"/>
    <col min="3" max="3" width="20.08984375" style="109" customWidth="1"/>
    <col min="4" max="7" width="10.90625" style="109" customWidth="1"/>
    <col min="8" max="8" width="21" style="109" customWidth="1"/>
    <col min="9" max="16384" width="8.7265625" style="109"/>
  </cols>
  <sheetData>
    <row r="1" spans="1:10" ht="5" customHeight="1" x14ac:dyDescent="0.35"/>
    <row r="2" spans="1:10" ht="23.5" x14ac:dyDescent="0.35">
      <c r="A2" s="1420" t="s">
        <v>712</v>
      </c>
      <c r="B2" s="1420"/>
      <c r="C2" s="1420"/>
      <c r="D2" s="1420"/>
      <c r="E2" s="1420"/>
      <c r="F2" s="1420"/>
      <c r="G2" s="1420"/>
      <c r="H2" s="1420"/>
    </row>
    <row r="4" spans="1:10" ht="29" x14ac:dyDescent="0.35">
      <c r="A4" s="745" t="s">
        <v>746</v>
      </c>
      <c r="B4" s="1219" t="s">
        <v>740</v>
      </c>
      <c r="C4" s="1293" t="s">
        <v>603</v>
      </c>
      <c r="D4" s="122"/>
      <c r="E4" s="1302"/>
      <c r="F4" s="1219" t="s">
        <v>713</v>
      </c>
      <c r="G4" s="1293" t="s">
        <v>603</v>
      </c>
      <c r="H4" s="1236"/>
    </row>
    <row r="5" spans="1:10" x14ac:dyDescent="0.35">
      <c r="A5" s="109" t="s">
        <v>602</v>
      </c>
      <c r="B5" s="1289">
        <v>1008</v>
      </c>
      <c r="C5" s="1428" t="s">
        <v>604</v>
      </c>
      <c r="D5" s="1428"/>
      <c r="E5" s="344"/>
      <c r="F5" s="1289">
        <v>1100</v>
      </c>
      <c r="G5" s="257"/>
      <c r="H5" s="1226"/>
    </row>
    <row r="6" spans="1:10" x14ac:dyDescent="0.35">
      <c r="A6" s="109" t="s">
        <v>605</v>
      </c>
      <c r="B6" s="1289">
        <v>1348</v>
      </c>
      <c r="C6" s="1428" t="s">
        <v>604</v>
      </c>
      <c r="D6" s="1428"/>
      <c r="E6" s="344"/>
      <c r="F6" s="1289">
        <v>1380</v>
      </c>
      <c r="G6" s="257"/>
      <c r="H6" s="1226"/>
    </row>
    <row r="7" spans="1:10" x14ac:dyDescent="0.35">
      <c r="A7" s="109" t="s">
        <v>606</v>
      </c>
      <c r="B7" s="1289">
        <v>500</v>
      </c>
      <c r="C7" s="1428" t="s">
        <v>604</v>
      </c>
      <c r="D7" s="1428"/>
      <c r="E7" s="344"/>
      <c r="F7" s="1289">
        <v>500</v>
      </c>
      <c r="G7" s="257"/>
      <c r="H7" s="1226"/>
    </row>
    <row r="8" spans="1:10" x14ac:dyDescent="0.35">
      <c r="A8" s="109" t="s">
        <v>821</v>
      </c>
      <c r="B8" s="1289">
        <v>300</v>
      </c>
      <c r="C8" s="1428" t="s">
        <v>604</v>
      </c>
      <c r="D8" s="1428"/>
      <c r="E8" s="344"/>
      <c r="F8" s="1289">
        <v>0</v>
      </c>
      <c r="G8" s="257" t="s">
        <v>852</v>
      </c>
      <c r="H8" s="1226"/>
    </row>
    <row r="9" spans="1:10" x14ac:dyDescent="0.35">
      <c r="A9" s="109" t="s">
        <v>650</v>
      </c>
      <c r="B9" s="1289">
        <v>1920</v>
      </c>
      <c r="C9" s="1428" t="s">
        <v>228</v>
      </c>
      <c r="D9" s="1428"/>
      <c r="E9" s="344"/>
      <c r="F9" s="1289">
        <v>1920</v>
      </c>
      <c r="G9" s="257"/>
      <c r="H9" s="1226"/>
    </row>
    <row r="10" spans="1:10" x14ac:dyDescent="0.35">
      <c r="A10" s="109" t="s">
        <v>608</v>
      </c>
      <c r="B10" s="1289">
        <v>1424</v>
      </c>
      <c r="C10" s="1428" t="s">
        <v>228</v>
      </c>
      <c r="D10" s="1428"/>
      <c r="E10" s="344"/>
      <c r="F10" s="1289">
        <v>1800</v>
      </c>
      <c r="G10" s="1428" t="s">
        <v>822</v>
      </c>
      <c r="H10" s="1431"/>
    </row>
    <row r="11" spans="1:10" ht="29" customHeight="1" x14ac:dyDescent="0.35">
      <c r="A11" s="109" t="s">
        <v>612</v>
      </c>
      <c r="B11" s="1289">
        <v>2000</v>
      </c>
      <c r="C11" s="1429" t="s">
        <v>841</v>
      </c>
      <c r="D11" s="1429"/>
      <c r="E11" s="344"/>
      <c r="F11" s="1289">
        <v>0</v>
      </c>
      <c r="G11" s="1429" t="s">
        <v>834</v>
      </c>
      <c r="H11" s="1430"/>
    </row>
    <row r="12" spans="1:10" x14ac:dyDescent="0.35">
      <c r="A12" s="109" t="s">
        <v>614</v>
      </c>
      <c r="B12" s="1289">
        <v>700</v>
      </c>
      <c r="C12" s="257"/>
      <c r="D12" s="257"/>
      <c r="E12" s="344"/>
      <c r="F12" s="1289">
        <v>0</v>
      </c>
      <c r="G12" s="257" t="s">
        <v>835</v>
      </c>
      <c r="H12" s="1226"/>
    </row>
    <row r="13" spans="1:10" x14ac:dyDescent="0.35">
      <c r="A13" s="109" t="s">
        <v>609</v>
      </c>
      <c r="B13" s="1289">
        <v>300</v>
      </c>
      <c r="C13" s="1428" t="s">
        <v>604</v>
      </c>
      <c r="D13" s="1428"/>
      <c r="E13" s="344"/>
      <c r="F13" s="1289">
        <v>204</v>
      </c>
      <c r="G13" s="257"/>
      <c r="H13" s="1226"/>
      <c r="J13" s="1031"/>
    </row>
    <row r="14" spans="1:10" x14ac:dyDescent="0.35">
      <c r="A14" s="109" t="s">
        <v>824</v>
      </c>
      <c r="B14" s="1289"/>
      <c r="C14" s="257"/>
      <c r="D14" s="257"/>
      <c r="E14" s="344"/>
      <c r="F14" s="1289">
        <v>289</v>
      </c>
      <c r="G14" s="257" t="s">
        <v>831</v>
      </c>
      <c r="H14" s="1226"/>
      <c r="J14" s="1031"/>
    </row>
    <row r="15" spans="1:10" x14ac:dyDescent="0.35">
      <c r="A15" s="109" t="s">
        <v>823</v>
      </c>
      <c r="B15" s="1289"/>
      <c r="C15" s="257"/>
      <c r="D15" s="257"/>
      <c r="E15" s="344"/>
      <c r="F15" s="1289">
        <v>720</v>
      </c>
      <c r="G15" s="257" t="s">
        <v>830</v>
      </c>
      <c r="H15" s="1226"/>
      <c r="J15" s="1031"/>
    </row>
    <row r="16" spans="1:10" x14ac:dyDescent="0.35">
      <c r="A16" s="109" t="s">
        <v>826</v>
      </c>
      <c r="B16" s="1289"/>
      <c r="C16" s="257"/>
      <c r="D16" s="257"/>
      <c r="E16" s="344"/>
      <c r="F16" s="1289">
        <v>100</v>
      </c>
      <c r="G16" s="257" t="s">
        <v>831</v>
      </c>
      <c r="H16" s="1226"/>
      <c r="J16" s="1031"/>
    </row>
    <row r="17" spans="1:10" x14ac:dyDescent="0.35">
      <c r="A17" s="109" t="s">
        <v>825</v>
      </c>
      <c r="B17" s="1289"/>
      <c r="C17" s="257"/>
      <c r="D17" s="257"/>
      <c r="E17" s="344"/>
      <c r="F17" s="1289">
        <v>340</v>
      </c>
      <c r="G17" s="257" t="s">
        <v>27</v>
      </c>
      <c r="H17" s="1226"/>
      <c r="J17" s="1031"/>
    </row>
    <row r="18" spans="1:10" x14ac:dyDescent="0.35">
      <c r="A18" s="109" t="s">
        <v>827</v>
      </c>
      <c r="B18" s="1289"/>
      <c r="C18" s="257"/>
      <c r="D18" s="257"/>
      <c r="E18" s="344"/>
      <c r="F18" s="1289">
        <v>575</v>
      </c>
      <c r="G18" s="257" t="s">
        <v>27</v>
      </c>
      <c r="H18" s="1226"/>
      <c r="J18" s="1031"/>
    </row>
    <row r="19" spans="1:10" x14ac:dyDescent="0.35">
      <c r="A19" s="109" t="s">
        <v>828</v>
      </c>
      <c r="B19" s="1289"/>
      <c r="C19" s="257"/>
      <c r="D19" s="257"/>
      <c r="E19" s="344"/>
      <c r="F19" s="1289">
        <v>516</v>
      </c>
      <c r="G19" s="257" t="s">
        <v>27</v>
      </c>
      <c r="H19" s="1226"/>
      <c r="J19" s="1031"/>
    </row>
    <row r="20" spans="1:10" x14ac:dyDescent="0.35">
      <c r="A20" s="109" t="s">
        <v>829</v>
      </c>
      <c r="B20" s="1289"/>
      <c r="C20" s="257"/>
      <c r="D20" s="257"/>
      <c r="E20" s="344"/>
      <c r="F20" s="1289">
        <v>1200</v>
      </c>
      <c r="G20" s="257" t="s">
        <v>27</v>
      </c>
      <c r="H20" s="1226"/>
      <c r="J20" s="1031"/>
    </row>
    <row r="21" spans="1:10" x14ac:dyDescent="0.35">
      <c r="A21" s="109" t="s">
        <v>832</v>
      </c>
      <c r="B21" s="1289"/>
      <c r="C21" s="257"/>
      <c r="D21" s="257"/>
      <c r="E21" s="344"/>
      <c r="F21" s="1289">
        <v>50</v>
      </c>
      <c r="G21" s="257" t="s">
        <v>27</v>
      </c>
      <c r="H21" s="1226"/>
      <c r="J21" s="1031"/>
    </row>
    <row r="22" spans="1:10" x14ac:dyDescent="0.35">
      <c r="A22" s="109" t="s">
        <v>833</v>
      </c>
      <c r="B22" s="1289"/>
      <c r="C22" s="257"/>
      <c r="D22" s="257"/>
      <c r="E22" s="344"/>
      <c r="F22" s="1289">
        <v>25</v>
      </c>
      <c r="G22" s="257" t="s">
        <v>27</v>
      </c>
      <c r="H22" s="1226"/>
      <c r="J22" s="1031"/>
    </row>
    <row r="23" spans="1:10" x14ac:dyDescent="0.35">
      <c r="B23" s="1289"/>
      <c r="C23" s="257"/>
      <c r="D23" s="257"/>
      <c r="E23" s="344"/>
      <c r="F23" s="1289"/>
      <c r="G23" s="257"/>
      <c r="H23" s="1226"/>
      <c r="J23" s="1031"/>
    </row>
    <row r="24" spans="1:10" x14ac:dyDescent="0.35">
      <c r="A24" s="876" t="s">
        <v>610</v>
      </c>
      <c r="B24" s="1290">
        <f>SUM(B5:B23)</f>
        <v>9500</v>
      </c>
      <c r="C24" s="762"/>
      <c r="D24" s="762"/>
      <c r="E24" s="1241"/>
      <c r="F24" s="1290">
        <f>SUM(F5:F23)</f>
        <v>10719</v>
      </c>
      <c r="G24" s="1240"/>
      <c r="H24" s="1239"/>
    </row>
    <row r="25" spans="1:10" x14ac:dyDescent="0.35">
      <c r="B25" s="1291"/>
      <c r="C25" s="257"/>
      <c r="D25" s="257"/>
      <c r="E25" s="344"/>
      <c r="F25" s="1291"/>
      <c r="G25" s="257"/>
      <c r="H25" s="344"/>
    </row>
    <row r="26" spans="1:10" x14ac:dyDescent="0.35">
      <c r="A26" s="109" t="s">
        <v>615</v>
      </c>
      <c r="B26" s="1291">
        <f>+B5+B6+B7+B8+B13</f>
        <v>3456</v>
      </c>
      <c r="C26" s="257"/>
      <c r="D26" s="257"/>
      <c r="E26" s="344"/>
      <c r="F26" s="1291">
        <f>+SUM(F17:F22)</f>
        <v>2706</v>
      </c>
      <c r="G26" s="1233"/>
      <c r="H26" s="1228"/>
    </row>
    <row r="27" spans="1:10" x14ac:dyDescent="0.35">
      <c r="A27" s="109" t="s">
        <v>616</v>
      </c>
      <c r="B27" s="1291">
        <f>+B9+B10</f>
        <v>3344</v>
      </c>
      <c r="C27" s="257"/>
      <c r="D27" s="257"/>
      <c r="E27" s="344"/>
      <c r="F27" s="1291">
        <v>0</v>
      </c>
      <c r="G27" s="1233"/>
      <c r="H27" s="1228"/>
    </row>
    <row r="28" spans="1:10" x14ac:dyDescent="0.35">
      <c r="A28" s="744" t="s">
        <v>617</v>
      </c>
      <c r="B28" s="1312">
        <f>+B24-B26-B27</f>
        <v>2700</v>
      </c>
      <c r="C28" s="263"/>
      <c r="D28" s="263"/>
      <c r="E28" s="1303"/>
      <c r="F28" s="1312">
        <f>+F26+F27</f>
        <v>2706</v>
      </c>
      <c r="G28" s="1313"/>
      <c r="H28" s="1314"/>
    </row>
    <row r="29" spans="1:10" ht="5" customHeight="1" x14ac:dyDescent="0.35">
      <c r="A29" s="257"/>
      <c r="B29" s="1292"/>
      <c r="C29" s="1233"/>
      <c r="D29" s="1292"/>
      <c r="E29" s="1233"/>
      <c r="F29" s="1233"/>
      <c r="G29" s="1233"/>
      <c r="H29" s="257"/>
    </row>
    <row r="30" spans="1:10" ht="7.5" customHeight="1" x14ac:dyDescent="0.35">
      <c r="A30" s="257"/>
      <c r="B30" s="1292"/>
      <c r="C30" s="257"/>
      <c r="D30" s="1292"/>
      <c r="E30" s="257"/>
      <c r="F30" s="257"/>
      <c r="G30" s="257"/>
      <c r="H30" s="257"/>
    </row>
    <row r="31" spans="1:10" ht="29" x14ac:dyDescent="0.35">
      <c r="A31" s="745" t="s">
        <v>611</v>
      </c>
      <c r="B31" s="1304" t="s">
        <v>567</v>
      </c>
      <c r="C31" s="1309" t="s">
        <v>818</v>
      </c>
      <c r="D31" s="1305" t="s">
        <v>819</v>
      </c>
      <c r="E31" s="1306" t="s">
        <v>820</v>
      </c>
      <c r="F31" s="1274" t="s">
        <v>713</v>
      </c>
      <c r="G31" s="122"/>
      <c r="H31" s="1302"/>
    </row>
    <row r="32" spans="1:10" x14ac:dyDescent="0.35">
      <c r="A32" s="1294" t="s">
        <v>618</v>
      </c>
      <c r="B32" s="1295">
        <v>2000</v>
      </c>
      <c r="C32" s="1296">
        <v>2000</v>
      </c>
      <c r="D32" s="1296"/>
      <c r="E32" s="1310">
        <f>+B32+C32-D32</f>
        <v>4000</v>
      </c>
      <c r="F32" s="1307">
        <f t="shared" ref="F32:F37" si="0">+E32</f>
        <v>4000</v>
      </c>
      <c r="G32" s="1426" t="s">
        <v>748</v>
      </c>
      <c r="H32" s="1427"/>
    </row>
    <row r="33" spans="1:8" x14ac:dyDescent="0.35">
      <c r="A33" s="1294" t="s">
        <v>836</v>
      </c>
      <c r="B33" s="1295">
        <v>500</v>
      </c>
      <c r="C33" s="1296"/>
      <c r="D33" s="1296"/>
      <c r="E33" s="1310">
        <f t="shared" ref="E33:E37" si="1">+B33+C33-D33</f>
        <v>500</v>
      </c>
      <c r="F33" s="1307">
        <f t="shared" si="0"/>
        <v>500</v>
      </c>
      <c r="G33" s="1300"/>
      <c r="H33" s="344"/>
    </row>
    <row r="34" spans="1:8" ht="33" customHeight="1" x14ac:dyDescent="0.35">
      <c r="A34" s="1294" t="s">
        <v>620</v>
      </c>
      <c r="B34" s="1295">
        <v>1000</v>
      </c>
      <c r="C34" s="1296">
        <v>3000</v>
      </c>
      <c r="D34" s="1296">
        <f>ROUND(1495.95+369,0)</f>
        <v>1865</v>
      </c>
      <c r="E34" s="1310">
        <f t="shared" si="1"/>
        <v>2135</v>
      </c>
      <c r="F34" s="1307">
        <f t="shared" si="0"/>
        <v>2135</v>
      </c>
      <c r="G34" s="1426" t="s">
        <v>651</v>
      </c>
      <c r="H34" s="1427"/>
    </row>
    <row r="35" spans="1:8" x14ac:dyDescent="0.35">
      <c r="A35" s="1294" t="s">
        <v>621</v>
      </c>
      <c r="B35" s="1295">
        <v>5000</v>
      </c>
      <c r="C35" s="1296"/>
      <c r="D35" s="1296">
        <f>ROUND(3517.14,0)</f>
        <v>3517</v>
      </c>
      <c r="E35" s="1310">
        <f t="shared" si="1"/>
        <v>1483</v>
      </c>
      <c r="F35" s="1307">
        <f t="shared" si="0"/>
        <v>1483</v>
      </c>
      <c r="G35" s="1300"/>
      <c r="H35" s="344"/>
    </row>
    <row r="36" spans="1:8" ht="30" customHeight="1" x14ac:dyDescent="0.35">
      <c r="A36" s="1294" t="s">
        <v>623</v>
      </c>
      <c r="B36" s="1295">
        <v>2500</v>
      </c>
      <c r="C36" s="1296"/>
      <c r="D36" s="1296"/>
      <c r="E36" s="1310">
        <f t="shared" si="1"/>
        <v>2500</v>
      </c>
      <c r="F36" s="1307">
        <f t="shared" si="0"/>
        <v>2500</v>
      </c>
      <c r="G36" s="1426" t="s">
        <v>652</v>
      </c>
      <c r="H36" s="1427"/>
    </row>
    <row r="37" spans="1:8" x14ac:dyDescent="0.35">
      <c r="A37" s="1294" t="s">
        <v>622</v>
      </c>
      <c r="B37" s="1295">
        <v>250</v>
      </c>
      <c r="C37" s="1296"/>
      <c r="D37" s="1296"/>
      <c r="E37" s="1310">
        <f t="shared" si="1"/>
        <v>250</v>
      </c>
      <c r="F37" s="1307">
        <f t="shared" si="0"/>
        <v>250</v>
      </c>
      <c r="G37" s="1426" t="s">
        <v>653</v>
      </c>
      <c r="H37" s="1427"/>
    </row>
    <row r="38" spans="1:8" x14ac:dyDescent="0.35">
      <c r="A38" s="1297" t="s">
        <v>747</v>
      </c>
      <c r="B38" s="1298">
        <f>SUM(B32:B37)</f>
        <v>11250</v>
      </c>
      <c r="C38" s="1299">
        <f>SUM(C32:C37)</f>
        <v>5000</v>
      </c>
      <c r="D38" s="1299">
        <f t="shared" ref="D38:E38" si="2">SUM(D32:D37)</f>
        <v>5382</v>
      </c>
      <c r="E38" s="1311">
        <f t="shared" si="2"/>
        <v>10868</v>
      </c>
      <c r="F38" s="1308">
        <f>SUM(F32:F37)</f>
        <v>10868</v>
      </c>
      <c r="G38" s="1301"/>
      <c r="H38" s="1245"/>
    </row>
    <row r="40" spans="1:8" x14ac:dyDescent="0.35">
      <c r="A40" s="120" t="s">
        <v>837</v>
      </c>
      <c r="B40" s="122"/>
      <c r="C40" s="122"/>
      <c r="D40" s="122"/>
      <c r="E40" s="122"/>
      <c r="F40" s="122"/>
      <c r="G40" s="122"/>
      <c r="H40" s="1302"/>
    </row>
    <row r="41" spans="1:8" x14ac:dyDescent="0.35">
      <c r="A41" s="123" t="s">
        <v>842</v>
      </c>
      <c r="B41" s="257"/>
      <c r="C41" s="257"/>
      <c r="D41" s="257"/>
      <c r="E41" s="257"/>
      <c r="F41" s="1296">
        <f>360+150+300</f>
        <v>810</v>
      </c>
      <c r="G41" s="257"/>
      <c r="H41" s="344"/>
    </row>
    <row r="42" spans="1:8" x14ac:dyDescent="0.35">
      <c r="A42" s="123" t="s">
        <v>843</v>
      </c>
      <c r="B42" s="257"/>
      <c r="C42" s="257"/>
      <c r="D42" s="257"/>
      <c r="E42" s="257"/>
      <c r="F42" s="1296">
        <v>1200</v>
      </c>
      <c r="G42" s="257"/>
      <c r="H42" s="344"/>
    </row>
    <row r="43" spans="1:8" x14ac:dyDescent="0.35">
      <c r="A43" s="123" t="s">
        <v>845</v>
      </c>
      <c r="B43" s="257"/>
      <c r="C43" s="257"/>
      <c r="D43" s="257"/>
      <c r="E43" s="257"/>
      <c r="F43" s="1296">
        <v>2000</v>
      </c>
      <c r="G43" s="257"/>
      <c r="H43" s="344"/>
    </row>
    <row r="44" spans="1:8" x14ac:dyDescent="0.35">
      <c r="A44" s="123" t="s">
        <v>844</v>
      </c>
      <c r="B44" s="257"/>
      <c r="C44" s="257"/>
      <c r="D44" s="257"/>
      <c r="E44" s="257"/>
      <c r="F44" s="1296">
        <v>1000</v>
      </c>
      <c r="G44" s="257"/>
      <c r="H44" s="344"/>
    </row>
    <row r="45" spans="1:8" x14ac:dyDescent="0.35">
      <c r="A45" s="123" t="s">
        <v>846</v>
      </c>
      <c r="B45" s="257"/>
      <c r="C45" s="257"/>
      <c r="D45" s="257"/>
      <c r="E45" s="257"/>
      <c r="F45" s="1296">
        <v>2300</v>
      </c>
      <c r="G45" s="257"/>
      <c r="H45" s="344"/>
    </row>
    <row r="46" spans="1:8" x14ac:dyDescent="0.35">
      <c r="A46" s="123" t="s">
        <v>847</v>
      </c>
      <c r="B46" s="257"/>
      <c r="C46" s="257"/>
      <c r="D46" s="257"/>
      <c r="E46" s="257"/>
      <c r="F46" s="1296">
        <v>9500</v>
      </c>
      <c r="G46" s="257"/>
      <c r="H46" s="344"/>
    </row>
    <row r="47" spans="1:8" x14ac:dyDescent="0.35">
      <c r="A47" s="1315" t="s">
        <v>838</v>
      </c>
      <c r="B47" s="1316"/>
      <c r="C47" s="1316"/>
      <c r="D47" s="1316"/>
      <c r="E47" s="1316"/>
      <c r="F47" s="1317">
        <f>SUM(F40:F46)</f>
        <v>16810</v>
      </c>
      <c r="G47" s="1316"/>
      <c r="H47" s="1318"/>
    </row>
    <row r="49" spans="1:8" x14ac:dyDescent="0.35">
      <c r="A49" s="120" t="s">
        <v>839</v>
      </c>
      <c r="B49" s="122"/>
      <c r="C49" s="122"/>
      <c r="D49" s="122"/>
      <c r="E49" s="122"/>
      <c r="F49" s="122"/>
      <c r="G49" s="122"/>
      <c r="H49" s="1302"/>
    </row>
    <row r="50" spans="1:8" x14ac:dyDescent="0.35">
      <c r="A50" s="123" t="s">
        <v>848</v>
      </c>
      <c r="B50" s="257"/>
      <c r="C50" s="257"/>
      <c r="D50" s="257"/>
      <c r="E50" s="257"/>
      <c r="F50" s="1296">
        <v>4000</v>
      </c>
      <c r="G50" s="257"/>
      <c r="H50" s="344"/>
    </row>
    <row r="51" spans="1:8" x14ac:dyDescent="0.35">
      <c r="A51" s="123" t="s">
        <v>849</v>
      </c>
      <c r="B51" s="257"/>
      <c r="C51" s="257"/>
      <c r="D51" s="257"/>
      <c r="E51" s="257"/>
      <c r="F51" s="1296">
        <v>2300</v>
      </c>
      <c r="G51" s="257"/>
      <c r="H51" s="344"/>
    </row>
    <row r="52" spans="1:8" x14ac:dyDescent="0.35">
      <c r="A52" s="123" t="s">
        <v>850</v>
      </c>
      <c r="B52" s="257"/>
      <c r="C52" s="257"/>
      <c r="D52" s="257"/>
      <c r="E52" s="257"/>
      <c r="F52" s="1296">
        <v>2000</v>
      </c>
      <c r="G52" s="257"/>
      <c r="H52" s="344"/>
    </row>
    <row r="53" spans="1:8" x14ac:dyDescent="0.35">
      <c r="A53" s="123" t="s">
        <v>851</v>
      </c>
      <c r="B53" s="257"/>
      <c r="C53" s="257"/>
      <c r="D53" s="257"/>
      <c r="E53" s="257"/>
      <c r="F53" s="1296">
        <v>3000</v>
      </c>
      <c r="G53" s="257"/>
      <c r="H53" s="344"/>
    </row>
    <row r="54" spans="1:8" x14ac:dyDescent="0.35">
      <c r="A54" s="1315" t="s">
        <v>840</v>
      </c>
      <c r="B54" s="1316"/>
      <c r="C54" s="1316"/>
      <c r="D54" s="1316"/>
      <c r="E54" s="1316"/>
      <c r="F54" s="1317">
        <f>SUM(F50:F53)</f>
        <v>11300</v>
      </c>
      <c r="G54" s="1316"/>
      <c r="H54" s="1318"/>
    </row>
  </sheetData>
  <mergeCells count="15">
    <mergeCell ref="A2:H2"/>
    <mergeCell ref="G32:H32"/>
    <mergeCell ref="G34:H34"/>
    <mergeCell ref="G10:H10"/>
    <mergeCell ref="C13:D13"/>
    <mergeCell ref="G36:H36"/>
    <mergeCell ref="G37:H37"/>
    <mergeCell ref="C5:D5"/>
    <mergeCell ref="C6:D6"/>
    <mergeCell ref="C7:D7"/>
    <mergeCell ref="C8:D8"/>
    <mergeCell ref="C9:D9"/>
    <mergeCell ref="C10:D10"/>
    <mergeCell ref="C11:D11"/>
    <mergeCell ref="G11:H11"/>
  </mergeCells>
  <printOptions horizontalCentered="1"/>
  <pageMargins left="0" right="0" top="0.25" bottom="0.25" header="0.3" footer="0.3"/>
  <pageSetup scale="68"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0" workbookViewId="0">
      <selection activeCell="A29" sqref="A29"/>
    </sheetView>
  </sheetViews>
  <sheetFormatPr defaultRowHeight="14.5" x14ac:dyDescent="0.35"/>
  <cols>
    <col min="1" max="1" width="3.6328125" style="959" customWidth="1"/>
    <col min="2" max="2" width="31.81640625" customWidth="1"/>
    <col min="3" max="3" width="10.453125" customWidth="1"/>
    <col min="4" max="4" width="9.36328125" customWidth="1"/>
    <col min="5" max="5" width="12.453125" customWidth="1"/>
  </cols>
  <sheetData>
    <row r="1" spans="1:9" ht="23.5" x14ac:dyDescent="0.55000000000000004">
      <c r="A1" s="1435" t="s">
        <v>715</v>
      </c>
      <c r="B1" s="1435"/>
      <c r="C1" s="1435"/>
      <c r="D1" s="1435"/>
      <c r="E1" s="1435"/>
      <c r="F1" s="1435"/>
      <c r="G1" s="1435"/>
      <c r="H1" s="1435"/>
      <c r="I1" s="1435"/>
    </row>
    <row r="2" spans="1:9" ht="15" thickBot="1" x14ac:dyDescent="0.4"/>
    <row r="3" spans="1:9" ht="25.5" customHeight="1" thickBot="1" x14ac:dyDescent="0.4">
      <c r="A3" s="1275">
        <v>1</v>
      </c>
      <c r="B3" s="1327" t="s">
        <v>625</v>
      </c>
      <c r="C3" s="1327"/>
      <c r="D3" s="1328">
        <v>76000</v>
      </c>
      <c r="E3" s="1329"/>
      <c r="F3" s="1327" t="s">
        <v>800</v>
      </c>
      <c r="G3" s="1327"/>
      <c r="H3" s="1327"/>
      <c r="I3" s="1330"/>
    </row>
    <row r="4" spans="1:9" x14ac:dyDescent="0.35">
      <c r="A4" s="1322"/>
      <c r="B4" s="1131"/>
      <c r="C4" s="1131"/>
      <c r="D4" s="1132"/>
      <c r="E4" s="1141" t="s">
        <v>644</v>
      </c>
      <c r="F4" s="1131"/>
      <c r="G4" s="1131"/>
      <c r="H4" s="1131"/>
      <c r="I4" s="1133"/>
    </row>
    <row r="5" spans="1:9" x14ac:dyDescent="0.35">
      <c r="A5" s="1434">
        <v>2</v>
      </c>
      <c r="B5" s="1432" t="s">
        <v>85</v>
      </c>
      <c r="C5" s="1331"/>
      <c r="D5" s="1433"/>
      <c r="E5" s="1134">
        <f>(480000*0.06)-'New Year-Full Year'!R28</f>
        <v>3900</v>
      </c>
      <c r="F5" s="619" t="s">
        <v>626</v>
      </c>
      <c r="G5" s="619"/>
      <c r="H5" s="619"/>
      <c r="I5" s="1135"/>
    </row>
    <row r="6" spans="1:9" x14ac:dyDescent="0.35">
      <c r="A6" s="1434"/>
      <c r="B6" s="1432"/>
      <c r="C6" s="1331"/>
      <c r="D6" s="1433"/>
      <c r="E6" s="1134">
        <f>(480000*0.08)-'New Year-Full Year'!R28</f>
        <v>13500</v>
      </c>
      <c r="F6" s="619" t="s">
        <v>627</v>
      </c>
      <c r="G6" s="619"/>
      <c r="H6" s="619"/>
      <c r="I6" s="1135"/>
    </row>
    <row r="7" spans="1:9" x14ac:dyDescent="0.35">
      <c r="A7" s="1434"/>
      <c r="B7" s="1432"/>
      <c r="C7" s="1331"/>
      <c r="D7" s="1433"/>
      <c r="E7" s="1134">
        <f>(480000*0.1)-'New Year-Full Year'!R28</f>
        <v>23100</v>
      </c>
      <c r="F7" s="619" t="s">
        <v>628</v>
      </c>
      <c r="G7" s="619"/>
      <c r="H7" s="619"/>
      <c r="I7" s="1135"/>
    </row>
    <row r="8" spans="1:9" x14ac:dyDescent="0.35">
      <c r="A8" s="1323"/>
      <c r="B8" s="1254"/>
      <c r="C8" s="1254"/>
      <c r="D8" s="1255"/>
      <c r="E8" s="1134"/>
      <c r="F8" s="619"/>
      <c r="G8" s="619"/>
      <c r="H8" s="619"/>
      <c r="I8" s="1135"/>
    </row>
    <row r="9" spans="1:9" ht="44" customHeight="1" x14ac:dyDescent="0.35">
      <c r="A9" s="1324"/>
      <c r="B9" s="1151" t="s">
        <v>648</v>
      </c>
      <c r="C9" s="1280" t="s">
        <v>567</v>
      </c>
      <c r="D9" s="1281" t="s">
        <v>853</v>
      </c>
      <c r="E9" s="1278" t="s">
        <v>802</v>
      </c>
      <c r="F9" s="619"/>
      <c r="G9" s="1280" t="s">
        <v>713</v>
      </c>
      <c r="H9" s="619"/>
      <c r="I9" s="1135"/>
    </row>
    <row r="10" spans="1:9" x14ac:dyDescent="0.35">
      <c r="A10" s="1324"/>
      <c r="B10" s="640" t="s">
        <v>801</v>
      </c>
      <c r="C10" s="1136">
        <v>17150</v>
      </c>
      <c r="D10" s="1136">
        <f>20000-C10</f>
        <v>2850</v>
      </c>
      <c r="E10" s="1279">
        <f>+C10+D10</f>
        <v>20000</v>
      </c>
      <c r="F10" s="619"/>
      <c r="G10" s="1136">
        <v>10000</v>
      </c>
      <c r="H10" s="619"/>
      <c r="I10" s="1135"/>
    </row>
    <row r="11" spans="1:9" x14ac:dyDescent="0.35">
      <c r="A11" s="1324"/>
      <c r="B11" s="619" t="s">
        <v>252</v>
      </c>
      <c r="C11" s="1136">
        <v>500</v>
      </c>
      <c r="D11" s="1136">
        <f>+ROUNDUP((E$7-2850)/5,-2)</f>
        <v>4100</v>
      </c>
      <c r="E11" s="1279">
        <f t="shared" ref="E11:E20" si="0">+C11+D11</f>
        <v>4600</v>
      </c>
      <c r="F11" s="619"/>
      <c r="G11" s="1136">
        <v>500</v>
      </c>
      <c r="H11" s="619"/>
      <c r="I11" s="1135"/>
    </row>
    <row r="12" spans="1:9" x14ac:dyDescent="0.35">
      <c r="A12" s="1324"/>
      <c r="B12" s="619" t="s">
        <v>645</v>
      </c>
      <c r="C12" s="1136">
        <v>1500</v>
      </c>
      <c r="D12" s="1136">
        <v>0</v>
      </c>
      <c r="E12" s="1279">
        <f t="shared" si="0"/>
        <v>1500</v>
      </c>
      <c r="F12" s="619"/>
      <c r="G12" s="1136">
        <v>1500</v>
      </c>
      <c r="H12" s="619"/>
      <c r="I12" s="1135"/>
    </row>
    <row r="13" spans="1:9" x14ac:dyDescent="0.35">
      <c r="A13" s="1324"/>
      <c r="B13" s="619" t="s">
        <v>521</v>
      </c>
      <c r="C13" s="1136">
        <v>750</v>
      </c>
      <c r="D13" s="1136">
        <v>0</v>
      </c>
      <c r="E13" s="1279">
        <f t="shared" si="0"/>
        <v>750</v>
      </c>
      <c r="F13" s="619"/>
      <c r="G13" s="1136">
        <v>750</v>
      </c>
      <c r="H13" s="619"/>
      <c r="I13" s="1135"/>
    </row>
    <row r="14" spans="1:9" x14ac:dyDescent="0.35">
      <c r="A14" s="1324"/>
      <c r="B14" s="619" t="s">
        <v>520</v>
      </c>
      <c r="C14" s="1136">
        <v>1000</v>
      </c>
      <c r="D14" s="1136">
        <v>0</v>
      </c>
      <c r="E14" s="1279">
        <f t="shared" si="0"/>
        <v>1000</v>
      </c>
      <c r="F14" s="619"/>
      <c r="G14" s="1136">
        <v>500</v>
      </c>
      <c r="H14" s="619"/>
      <c r="I14" s="1135"/>
    </row>
    <row r="15" spans="1:9" x14ac:dyDescent="0.35">
      <c r="A15" s="1324"/>
      <c r="B15" s="1277" t="s">
        <v>229</v>
      </c>
      <c r="C15" s="1136">
        <v>0</v>
      </c>
      <c r="D15" s="1136">
        <f>+ROUNDUP((E$7-2850)/5,-2)</f>
        <v>4100</v>
      </c>
      <c r="E15" s="1279">
        <f t="shared" si="0"/>
        <v>4100</v>
      </c>
      <c r="F15" s="619"/>
      <c r="G15" s="1136">
        <v>500</v>
      </c>
      <c r="H15" s="619"/>
      <c r="I15" s="1135"/>
    </row>
    <row r="16" spans="1:9" x14ac:dyDescent="0.35">
      <c r="A16" s="1324"/>
      <c r="B16" s="1277" t="s">
        <v>765</v>
      </c>
      <c r="C16" s="1136">
        <v>0</v>
      </c>
      <c r="D16" s="1136">
        <v>0</v>
      </c>
      <c r="E16" s="1279">
        <f t="shared" ref="E16" si="1">+C16+D16</f>
        <v>0</v>
      </c>
      <c r="F16" s="619"/>
      <c r="G16" s="1136">
        <v>500</v>
      </c>
      <c r="H16" s="619" t="s">
        <v>854</v>
      </c>
      <c r="I16" s="1135"/>
    </row>
    <row r="17" spans="1:9" x14ac:dyDescent="0.35">
      <c r="A17" s="1324"/>
      <c r="B17" s="619" t="s">
        <v>631</v>
      </c>
      <c r="C17" s="1136">
        <v>1000</v>
      </c>
      <c r="D17" s="1136">
        <f>+ROUNDUP((E$7-2850)/5,-2)</f>
        <v>4100</v>
      </c>
      <c r="E17" s="1279">
        <f t="shared" si="0"/>
        <v>5100</v>
      </c>
      <c r="F17" s="619"/>
      <c r="G17" s="1136">
        <v>1000</v>
      </c>
      <c r="H17" s="619"/>
      <c r="I17" s="1135"/>
    </row>
    <row r="18" spans="1:9" x14ac:dyDescent="0.35">
      <c r="A18" s="1324"/>
      <c r="B18" s="619" t="s">
        <v>255</v>
      </c>
      <c r="C18" s="1136">
        <v>1000</v>
      </c>
      <c r="D18" s="1136">
        <f>+ROUNDUP((E$7-2850)/5,-2)</f>
        <v>4100</v>
      </c>
      <c r="E18" s="1279">
        <f t="shared" si="0"/>
        <v>5100</v>
      </c>
      <c r="F18" s="619"/>
      <c r="G18" s="1136">
        <v>1000</v>
      </c>
      <c r="H18" s="619"/>
      <c r="I18" s="1135"/>
    </row>
    <row r="19" spans="1:9" x14ac:dyDescent="0.35">
      <c r="A19" s="1324"/>
      <c r="B19" s="619" t="s">
        <v>377</v>
      </c>
      <c r="C19" s="1136">
        <v>1000</v>
      </c>
      <c r="D19" s="1136">
        <v>0</v>
      </c>
      <c r="E19" s="1279">
        <f t="shared" si="0"/>
        <v>1000</v>
      </c>
      <c r="F19" s="619"/>
      <c r="G19" s="1136">
        <v>1000</v>
      </c>
      <c r="H19" s="619"/>
      <c r="I19" s="1135"/>
    </row>
    <row r="20" spans="1:9" x14ac:dyDescent="0.35">
      <c r="A20" s="1324"/>
      <c r="B20" s="619" t="s">
        <v>257</v>
      </c>
      <c r="C20" s="1136">
        <v>1000</v>
      </c>
      <c r="D20" s="1136">
        <f>+ROUNDUP((E$7-2850)/5,-2)</f>
        <v>4100</v>
      </c>
      <c r="E20" s="1279">
        <f t="shared" si="0"/>
        <v>5100</v>
      </c>
      <c r="F20" s="619"/>
      <c r="G20" s="1136">
        <v>1000</v>
      </c>
      <c r="H20" s="619"/>
      <c r="I20" s="1135"/>
    </row>
    <row r="21" spans="1:9" ht="15" thickBot="1" x14ac:dyDescent="0.4">
      <c r="A21" s="1325"/>
      <c r="B21" s="1137" t="s">
        <v>649</v>
      </c>
      <c r="C21" s="1138">
        <f>SUM(C10:C20)</f>
        <v>24900</v>
      </c>
      <c r="D21" s="1138">
        <f t="shared" ref="D21:E21" si="2">SUM(D10:D20)</f>
        <v>23350</v>
      </c>
      <c r="E21" s="1138">
        <f t="shared" si="2"/>
        <v>48250</v>
      </c>
      <c r="F21" s="1139"/>
      <c r="G21" s="1138">
        <f>SUM(G10:G20)</f>
        <v>18250</v>
      </c>
      <c r="H21" s="1139"/>
      <c r="I21" s="1140"/>
    </row>
    <row r="22" spans="1:9" ht="25.5" customHeight="1" thickBot="1" x14ac:dyDescent="0.4">
      <c r="A22" s="1275">
        <v>3</v>
      </c>
      <c r="B22" s="1276" t="s">
        <v>624</v>
      </c>
      <c r="C22" s="1276"/>
      <c r="D22" s="1599">
        <v>1000</v>
      </c>
      <c r="E22" s="1148"/>
      <c r="F22" s="1149"/>
      <c r="G22" s="1149"/>
      <c r="H22" s="1149"/>
      <c r="I22" s="1150"/>
    </row>
    <row r="23" spans="1:9" ht="25.5" customHeight="1" thickBot="1" x14ac:dyDescent="0.4">
      <c r="A23" s="1326">
        <v>4</v>
      </c>
      <c r="B23" s="1600" t="s">
        <v>855</v>
      </c>
      <c r="C23" s="1600"/>
      <c r="D23" s="1601">
        <v>16810</v>
      </c>
      <c r="E23" s="1143" t="s">
        <v>856</v>
      </c>
      <c r="F23" s="880"/>
      <c r="G23" s="880"/>
      <c r="H23" s="880"/>
      <c r="I23" s="881"/>
    </row>
    <row r="24" spans="1:9" ht="25.5" customHeight="1" thickBot="1" x14ac:dyDescent="0.4">
      <c r="A24" s="1321">
        <v>5</v>
      </c>
      <c r="B24" s="1144"/>
      <c r="C24" s="1144"/>
      <c r="D24" s="1145">
        <v>0</v>
      </c>
      <c r="E24" s="1146"/>
      <c r="F24" s="1144"/>
      <c r="G24" s="1144"/>
      <c r="H24" s="1144"/>
      <c r="I24" s="1147"/>
    </row>
    <row r="25" spans="1:9" ht="25.5" customHeight="1" thickBot="1" x14ac:dyDescent="0.4">
      <c r="A25" s="1326">
        <v>6</v>
      </c>
      <c r="B25" s="880"/>
      <c r="C25" s="880"/>
      <c r="D25" s="1142"/>
      <c r="E25" s="1143"/>
      <c r="F25" s="880"/>
      <c r="G25" s="880"/>
      <c r="H25" s="880"/>
      <c r="I25" s="881"/>
    </row>
    <row r="26" spans="1:9" ht="25.5" customHeight="1" thickBot="1" x14ac:dyDescent="0.4">
      <c r="A26" s="1332">
        <v>7</v>
      </c>
      <c r="B26" s="1333" t="s">
        <v>629</v>
      </c>
      <c r="C26" s="1333"/>
      <c r="D26" s="1334">
        <f>D3-SUM(D21:D25)</f>
        <v>34840</v>
      </c>
      <c r="E26" s="1334" t="s">
        <v>647</v>
      </c>
      <c r="F26" s="1333"/>
      <c r="G26" s="1333"/>
      <c r="H26" s="1333"/>
      <c r="I26" s="1335"/>
    </row>
  </sheetData>
  <mergeCells count="4">
    <mergeCell ref="B5:B7"/>
    <mergeCell ref="D5:D7"/>
    <mergeCell ref="A5:A7"/>
    <mergeCell ref="A1:I1"/>
  </mergeCells>
  <printOptions horizontalCentered="1"/>
  <pageMargins left="0" right="0"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abSelected="1" workbookViewId="0">
      <selection activeCell="G25" sqref="G25"/>
    </sheetView>
  </sheetViews>
  <sheetFormatPr defaultRowHeight="14.5" x14ac:dyDescent="0.35"/>
  <cols>
    <col min="1" max="1" width="8.7265625" style="1606"/>
    <col min="2" max="2" width="78.36328125" style="1294" customWidth="1"/>
  </cols>
  <sheetData>
    <row r="1" spans="1:2" ht="18.5" x14ac:dyDescent="0.35">
      <c r="A1" s="1605" t="s">
        <v>857</v>
      </c>
    </row>
    <row r="2" spans="1:2" ht="15" thickBot="1" x14ac:dyDescent="0.4"/>
    <row r="3" spans="1:2" ht="32" customHeight="1" x14ac:dyDescent="0.35">
      <c r="A3" s="1613">
        <v>1</v>
      </c>
      <c r="B3" s="1614" t="s">
        <v>858</v>
      </c>
    </row>
    <row r="4" spans="1:2" ht="32" customHeight="1" x14ac:dyDescent="0.35">
      <c r="A4" s="1615">
        <v>2</v>
      </c>
      <c r="B4" s="1616" t="s">
        <v>859</v>
      </c>
    </row>
    <row r="5" spans="1:2" ht="32" customHeight="1" x14ac:dyDescent="0.35">
      <c r="A5" s="1615">
        <v>3</v>
      </c>
      <c r="B5" s="1616" t="s">
        <v>860</v>
      </c>
    </row>
    <row r="6" spans="1:2" ht="32" customHeight="1" x14ac:dyDescent="0.35">
      <c r="A6" s="1615">
        <v>4</v>
      </c>
      <c r="B6" s="1616" t="s">
        <v>861</v>
      </c>
    </row>
    <row r="7" spans="1:2" ht="32" customHeight="1" x14ac:dyDescent="0.35">
      <c r="A7" s="1615">
        <v>5</v>
      </c>
      <c r="B7" s="1617" t="s">
        <v>862</v>
      </c>
    </row>
    <row r="8" spans="1:2" ht="32" customHeight="1" x14ac:dyDescent="0.35">
      <c r="A8" s="1615">
        <v>6</v>
      </c>
      <c r="B8" s="1616" t="s">
        <v>863</v>
      </c>
    </row>
    <row r="9" spans="1:2" ht="32" customHeight="1" x14ac:dyDescent="0.35">
      <c r="A9" s="1615">
        <v>7</v>
      </c>
      <c r="B9" s="1617" t="s">
        <v>864</v>
      </c>
    </row>
    <row r="10" spans="1:2" ht="32" customHeight="1" x14ac:dyDescent="0.35">
      <c r="A10" s="1615">
        <v>8</v>
      </c>
      <c r="B10" s="1616" t="s">
        <v>870</v>
      </c>
    </row>
    <row r="11" spans="1:2" ht="32" customHeight="1" x14ac:dyDescent="0.35">
      <c r="A11" s="1615">
        <v>9</v>
      </c>
      <c r="B11" s="1617" t="s">
        <v>871</v>
      </c>
    </row>
    <row r="12" spans="1:2" ht="32" customHeight="1" x14ac:dyDescent="0.35">
      <c r="A12" s="1615">
        <v>10</v>
      </c>
      <c r="B12" s="1616" t="s">
        <v>872</v>
      </c>
    </row>
    <row r="13" spans="1:2" ht="15.5" customHeight="1" x14ac:dyDescent="0.35">
      <c r="A13" s="1618">
        <v>11</v>
      </c>
      <c r="B13" s="1619" t="s">
        <v>873</v>
      </c>
    </row>
    <row r="14" spans="1:2" x14ac:dyDescent="0.35">
      <c r="A14" s="1609"/>
      <c r="B14" s="1610" t="s">
        <v>874</v>
      </c>
    </row>
    <row r="15" spans="1:2" ht="15" thickBot="1" x14ac:dyDescent="0.4">
      <c r="A15" s="1611"/>
      <c r="B15" s="1612" t="s">
        <v>875</v>
      </c>
    </row>
    <row r="18" spans="1:2" ht="19" thickBot="1" x14ac:dyDescent="0.4">
      <c r="A18" s="1604">
        <v>2025</v>
      </c>
    </row>
    <row r="19" spans="1:2" x14ac:dyDescent="0.35">
      <c r="A19" s="1607">
        <v>1</v>
      </c>
      <c r="B19" s="1608" t="s">
        <v>869</v>
      </c>
    </row>
    <row r="20" spans="1:2" x14ac:dyDescent="0.35">
      <c r="A20" s="1609"/>
      <c r="B20" s="1610" t="s">
        <v>865</v>
      </c>
    </row>
    <row r="21" spans="1:2" x14ac:dyDescent="0.35">
      <c r="A21" s="1609"/>
      <c r="B21" s="1610" t="s">
        <v>827</v>
      </c>
    </row>
    <row r="22" spans="1:2" x14ac:dyDescent="0.35">
      <c r="A22" s="1609"/>
      <c r="B22" s="1610" t="s">
        <v>866</v>
      </c>
    </row>
    <row r="23" spans="1:2" x14ac:dyDescent="0.35">
      <c r="A23" s="1609"/>
      <c r="B23" s="1610" t="s">
        <v>867</v>
      </c>
    </row>
    <row r="24" spans="1:2" x14ac:dyDescent="0.35">
      <c r="A24" s="1609"/>
      <c r="B24" s="1610" t="s">
        <v>832</v>
      </c>
    </row>
    <row r="25" spans="1:2" x14ac:dyDescent="0.35">
      <c r="A25" s="1609"/>
      <c r="B25" s="1610" t="s">
        <v>868</v>
      </c>
    </row>
    <row r="26" spans="1:2" x14ac:dyDescent="0.35">
      <c r="A26" s="1620"/>
      <c r="B26" s="1621"/>
    </row>
    <row r="27" spans="1:2" ht="29.5" customHeight="1" thickBot="1" x14ac:dyDescent="0.4">
      <c r="A27" s="1611">
        <v>2</v>
      </c>
      <c r="B27" s="1612" t="s">
        <v>876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30</vt:i4>
      </vt:variant>
      <vt:variant>
        <vt:lpstr>Charts</vt:lpstr>
      </vt:variant>
      <vt:variant>
        <vt:i4>1</vt:i4>
      </vt:variant>
      <vt:variant>
        <vt:lpstr>Named Ranges</vt:lpstr>
      </vt:variant>
      <vt:variant>
        <vt:i4>4</vt:i4>
      </vt:variant>
    </vt:vector>
  </HeadingPairs>
  <TitlesOfParts>
    <vt:vector size="35" baseType="lpstr">
      <vt:lpstr>Top Sheet</vt:lpstr>
      <vt:lpstr>Summary New Year</vt:lpstr>
      <vt:lpstr>Annual Report</vt:lpstr>
      <vt:lpstr>New Year-Full Year</vt:lpstr>
      <vt:lpstr>Analysis of Rates</vt:lpstr>
      <vt:lpstr>Technology</vt:lpstr>
      <vt:lpstr>Tech Budget</vt:lpstr>
      <vt:lpstr>Year End Overage</vt:lpstr>
      <vt:lpstr>Year End tasks</vt:lpstr>
      <vt:lpstr>John</vt:lpstr>
      <vt:lpstr>John - Housing</vt:lpstr>
      <vt:lpstr>Ryan</vt:lpstr>
      <vt:lpstr>Ryan - Housing</vt:lpstr>
      <vt:lpstr>Ryan G - First Pay</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2024-12-19T18:09:55Z</cp:lastPrinted>
  <dcterms:created xsi:type="dcterms:W3CDTF">2011-12-01T18:07:46Z</dcterms:created>
  <dcterms:modified xsi:type="dcterms:W3CDTF">2024-12-19T18:11:46Z</dcterms:modified>
</cp:coreProperties>
</file>